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9756" windowHeight="5556" activeTab="2"/>
  </bookViews>
  <sheets>
    <sheet name="Gloria" sheetId="1" r:id="rId1"/>
    <sheet name="Strong-SDT" sheetId="2" r:id="rId2"/>
    <sheet name="expt crit" sheetId="3" r:id="rId3"/>
  </sheets>
  <definedNames>
    <definedName name="alpha">'Gloria'!$O$13</definedName>
    <definedName name="beta">'Gloria'!$O$14</definedName>
    <definedName name="cc">'Gloria'!$C$18</definedName>
    <definedName name="crit">'Gloria'!$C$16</definedName>
    <definedName name="critvar">'expt crit'!$T$12</definedName>
    <definedName name="currentM">'expt crit'!$G$16</definedName>
    <definedName name="dprime">'Gloria'!$C$15</definedName>
    <definedName name="dprimeb">'expt crit'!$G$8</definedName>
    <definedName name="dprimec">'expt crit'!$G$16</definedName>
    <definedName name="fa">'Gloria'!$D$7</definedName>
    <definedName name="h">'Gloria'!$D$6</definedName>
    <definedName name="high">'expt crit'!$G$12</definedName>
    <definedName name="highcrit">'expt crit'!$G$10</definedName>
    <definedName name="kkk">'expt crit'!$G$14</definedName>
    <definedName name="knoise">'expt crit'!$G$11</definedName>
    <definedName name="learn">'expt crit'!$G$7</definedName>
    <definedName name="LL1">'expt crit'!$G$4</definedName>
    <definedName name="LL2">'expt crit'!$G$5</definedName>
    <definedName name="LL4">'expt crit'!$G$6</definedName>
    <definedName name="Low">'expt crit'!$G$13</definedName>
    <definedName name="Max">'expt crit'!$G$20</definedName>
    <definedName name="max2">'expt crit'!$G$24</definedName>
    <definedName name="MB">'expt crit'!$G$14</definedName>
    <definedName name="MC">'expt crit'!$G$15</definedName>
    <definedName name="meana">'expt crit'!$L$11</definedName>
    <definedName name="meanb">'expt crit'!$R$11</definedName>
    <definedName name="middle">'expt crit'!$G$22</definedName>
    <definedName name="middle2">'expt crit'!$G$26</definedName>
    <definedName name="Min">'expt crit'!$G$21</definedName>
    <definedName name="min2">'expt crit'!$G$25</definedName>
    <definedName name="mult1">'expt crit'!$G$9</definedName>
    <definedName name="mult2">'expt crit'!$G$10</definedName>
    <definedName name="mult4">'expt crit'!$G$11</definedName>
    <definedName name="mx">'Gloria'!$C$17</definedName>
    <definedName name="n">'expt crit'!$G$16</definedName>
    <definedName name="_xlnm.Print_Area" localSheetId="2">'expt crit'!$E$5:$V$32</definedName>
    <definedName name="s">'expt crit'!$G$12</definedName>
    <definedName name="sda">'expt crit'!$L$12</definedName>
    <definedName name="sdb">'expt crit'!$R$12</definedName>
    <definedName name="SDC">'expt crit'!$G$17</definedName>
    <definedName name="sdd">'expt crit'!$G$23</definedName>
    <definedName name="sde">'expt crit'!$G$30</definedName>
    <definedName name="Sdtarget">'expt crit'!$G$9</definedName>
    <definedName name="solver_adj" localSheetId="2" hidden="1">'expt crit'!$G$11:$G$23</definedName>
    <definedName name="solver_adj" localSheetId="0" hidden="1">'Gloria'!$C$15:$C$22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hs1" localSheetId="2" hidden="1">'expt crit'!$G$8</definedName>
    <definedName name="solver_lhs2" localSheetId="2" hidden="1">'expt crit'!$G$15</definedName>
    <definedName name="solver_lhs3" localSheetId="2" hidden="1">'expt crit'!$G$9</definedName>
    <definedName name="solver_lhs4" localSheetId="2" hidden="1">'expt crit'!$G$23</definedName>
    <definedName name="solver_lhs5" localSheetId="2" hidden="1">'expt crit'!$G$16:$G$17</definedName>
    <definedName name="solver_lhs6" localSheetId="2" hidden="1">'expt crit'!$G$11:$G$23</definedName>
    <definedName name="solver_lhs7" localSheetId="2" hidden="1">'expt crit'!$G$20:$G$23</definedName>
    <definedName name="solver_lhs8" localSheetId="2" hidden="1">'expt crit'!$G$23</definedName>
    <definedName name="solver_lhs9" localSheetId="2" hidden="1">'expt crit'!$G$20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6</definedName>
    <definedName name="solver_num" localSheetId="0" hidden="1">0</definedName>
    <definedName name="solver_nwt" localSheetId="2" hidden="1">1</definedName>
    <definedName name="solver_nwt" localSheetId="0" hidden="1">1</definedName>
    <definedName name="solver_opt" localSheetId="2" hidden="1">'expt crit'!$L$10</definedName>
    <definedName name="solver_opt" localSheetId="0" hidden="1">'Gloria'!$I$14</definedName>
    <definedName name="solver_pre" localSheetId="2" hidden="1">0.000001</definedName>
    <definedName name="solver_pre" localSheetId="0" hidden="1">0.000001</definedName>
    <definedName name="solver_rel1" localSheetId="2" hidden="1">3</definedName>
    <definedName name="solver_rel2" localSheetId="2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2" hidden="1">0.00001</definedName>
    <definedName name="solver_rhs2" localSheetId="2" hidden="1">0.001</definedName>
    <definedName name="solver_rhs3" localSheetId="2" hidden="1">0.001</definedName>
    <definedName name="solver_rhs4" localSheetId="2" hidden="1">0.001</definedName>
    <definedName name="solver_rhs5" localSheetId="2" hidden="1">0.01</definedName>
    <definedName name="solver_rhs6" localSheetId="2" hidden="1">0.000001</definedName>
    <definedName name="solver_rhs7" localSheetId="2" hidden="1">0.00001</definedName>
    <definedName name="solver_rhs8" localSheetId="2" hidden="1">0.001</definedName>
    <definedName name="solver_rhs9" localSheetId="2" hidden="1">0.00000001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  <definedName name="timek">'expt crit'!$T$11</definedName>
    <definedName name="x">'Gloria'!$C$20</definedName>
    <definedName name="xa">'Gloria'!$C$20</definedName>
    <definedName name="xb">'Gloria'!$C$21</definedName>
    <definedName name="xd">'Gloria'!$C$22</definedName>
    <definedName name="xxx">'expt crit'!$G$13</definedName>
  </definedNames>
  <calcPr fullCalcOnLoad="1"/>
</workbook>
</file>

<file path=xl/sharedStrings.xml><?xml version="1.0" encoding="utf-8"?>
<sst xmlns="http://schemas.openxmlformats.org/spreadsheetml/2006/main" count="187" uniqueCount="116">
  <si>
    <t>h</t>
  </si>
  <si>
    <t>fa</t>
  </si>
  <si>
    <t>criterion</t>
  </si>
  <si>
    <t>use h</t>
  </si>
  <si>
    <t>dprime</t>
  </si>
  <si>
    <t>fa is</t>
  </si>
  <si>
    <t>HR</t>
  </si>
  <si>
    <t>Therefore, we can now model a la Yonelinas thus:</t>
  </si>
  <si>
    <t>let x be the time constant:</t>
  </si>
  <si>
    <t>time</t>
  </si>
  <si>
    <t>access</t>
  </si>
  <si>
    <t>1-access</t>
  </si>
  <si>
    <t>model</t>
  </si>
  <si>
    <t>dprime and crit are obvious</t>
  </si>
  <si>
    <t>crit</t>
  </si>
  <si>
    <t>calculate H</t>
  </si>
  <si>
    <t>H is</t>
  </si>
  <si>
    <t>calc FA</t>
  </si>
  <si>
    <t>SS</t>
  </si>
  <si>
    <t>mx</t>
  </si>
  <si>
    <t>cc</t>
  </si>
  <si>
    <t>PRED FA</t>
  </si>
  <si>
    <t>PRED H</t>
  </si>
  <si>
    <t>OBS H</t>
  </si>
  <si>
    <t>OBS FA</t>
  </si>
  <si>
    <t>group g12</t>
  </si>
  <si>
    <t>group g14</t>
  </si>
  <si>
    <t>group 2</t>
  </si>
  <si>
    <t>GROUP 4</t>
  </si>
  <si>
    <t>total SS</t>
  </si>
  <si>
    <t>x1</t>
  </si>
  <si>
    <t>x2</t>
  </si>
  <si>
    <t>x4</t>
  </si>
  <si>
    <t>predicted hit rates</t>
  </si>
  <si>
    <t>alpha</t>
  </si>
  <si>
    <t>beta</t>
  </si>
  <si>
    <t>Participant A</t>
  </si>
  <si>
    <t>total</t>
  </si>
  <si>
    <t>HITS</t>
  </si>
  <si>
    <t>FAS</t>
  </si>
  <si>
    <t>riterion?</t>
  </si>
  <si>
    <t>Dprime</t>
  </si>
  <si>
    <t>Participant B</t>
  </si>
  <si>
    <t>ObsFA</t>
  </si>
  <si>
    <t>Obs H</t>
  </si>
  <si>
    <t>noise</t>
  </si>
  <si>
    <t>Obs</t>
  </si>
  <si>
    <t>pred</t>
  </si>
  <si>
    <t>obs FA</t>
  </si>
  <si>
    <t>G2</t>
  </si>
  <si>
    <t>G4</t>
  </si>
  <si>
    <t>G14</t>
  </si>
  <si>
    <t>G12</t>
  </si>
  <si>
    <t>SS for G4</t>
  </si>
  <si>
    <t>SS for G2</t>
  </si>
  <si>
    <t>SS for G14</t>
  </si>
  <si>
    <t>SS for G12</t>
  </si>
  <si>
    <t>TOTAL SS</t>
  </si>
  <si>
    <t>(white circles)</t>
  </si>
  <si>
    <t>(black triangles)</t>
  </si>
  <si>
    <t>(white squares)</t>
  </si>
  <si>
    <t>(black rhomboids)</t>
  </si>
  <si>
    <t>Tvar</t>
  </si>
  <si>
    <t>hits only</t>
  </si>
  <si>
    <t>parameter space</t>
  </si>
  <si>
    <t>noise component</t>
  </si>
  <si>
    <t>HT Noise wt</t>
  </si>
  <si>
    <t>P(HT Access)</t>
  </si>
  <si>
    <t>model crit</t>
  </si>
  <si>
    <t>HT Tgt wB</t>
  </si>
  <si>
    <t>HT Tgt wA</t>
  </si>
  <si>
    <t>HT Tgt wC</t>
  </si>
  <si>
    <t>B</t>
  </si>
  <si>
    <t>C</t>
  </si>
  <si>
    <t>MB</t>
  </si>
  <si>
    <t>MC</t>
  </si>
  <si>
    <t>this is also FA1</t>
  </si>
  <si>
    <t>SDTA</t>
  </si>
  <si>
    <t>SDTB</t>
  </si>
  <si>
    <t>SDTC</t>
  </si>
  <si>
    <t>accessA</t>
  </si>
  <si>
    <t>totals</t>
  </si>
  <si>
    <t>ln(t)</t>
  </si>
  <si>
    <t>ln(N)</t>
  </si>
  <si>
    <t>dprimec</t>
  </si>
  <si>
    <t>SDC</t>
  </si>
  <si>
    <t>Max</t>
  </si>
  <si>
    <t>Min</t>
  </si>
  <si>
    <t>sdd</t>
  </si>
  <si>
    <t>middle</t>
  </si>
  <si>
    <t>Speculate here about rising threshold for context</t>
  </si>
  <si>
    <t>old:</t>
  </si>
  <si>
    <t>HT Crit</t>
  </si>
  <si>
    <t>FALSE ALARM</t>
  </si>
  <si>
    <t>Model 1</t>
  </si>
  <si>
    <t>Model 2</t>
  </si>
  <si>
    <t>Model 4</t>
  </si>
  <si>
    <t>Model FA</t>
  </si>
  <si>
    <t>This plot illustrates the modelled shift in criterion:</t>
  </si>
  <si>
    <t>SS computations:</t>
  </si>
  <si>
    <t>The white cell indicates the SS used here</t>
  </si>
  <si>
    <t>to optimise fit</t>
  </si>
  <si>
    <t>k</t>
  </si>
  <si>
    <t>These three parameters model</t>
  </si>
  <si>
    <t>the SDT criterion function</t>
  </si>
  <si>
    <t>These parameters model the</t>
  </si>
  <si>
    <t>strength distribution</t>
  </si>
  <si>
    <t>k - the forgetting parameter</t>
  </si>
  <si>
    <t>effects of overlearning C2 C4</t>
  </si>
  <si>
    <t>SS Calculations</t>
  </si>
  <si>
    <t>ln-ln trans</t>
  </si>
  <si>
    <t>Green rows reflect where data has been collected</t>
  </si>
  <si>
    <t>These are the predicted retention functions</t>
  </si>
  <si>
    <t>a (1)</t>
  </si>
  <si>
    <t>b (2)</t>
  </si>
  <si>
    <t xml:space="preserve">c (4)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</si>
</sst>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25"/>
      <name val="Helvetica"/>
      <family val="2"/>
    </font>
    <font>
      <sz val="9.25"/>
      <name val="Helvetica"/>
      <family val="2"/>
    </font>
    <font>
      <b/>
      <sz val="14.5"/>
      <name val="Helvetic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13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10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Gloria!$O$34:$O$38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1996923"/>
        <c:axId val="42427988"/>
      </c:scatterChart>
      <c:valAx>
        <c:axId val="419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27988"/>
        <c:crosses val="autoZero"/>
        <c:crossBetween val="midCat"/>
        <c:dispUnits/>
      </c:valAx>
      <c:valAx>
        <c:axId val="42427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96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(Gloria!$A$78:$A$82,Gloria!$A$78:$A$83)</c:f>
              <c:numCache>
                <c:ptCount val="11"/>
                <c:pt idx="0">
                  <c:v>0.971427974992433</c:v>
                </c:pt>
                <c:pt idx="1">
                  <c:v>0.9315054782630089</c:v>
                </c:pt>
                <c:pt idx="2">
                  <c:v>0.8717924699779583</c:v>
                </c:pt>
                <c:pt idx="3">
                  <c:v>0.7727234988060453</c:v>
                </c:pt>
                <c:pt idx="4">
                  <c:v>0.5811913506057445</c:v>
                </c:pt>
                <c:pt idx="5">
                  <c:v>0.971427974992433</c:v>
                </c:pt>
                <c:pt idx="6">
                  <c:v>0.9315054782630089</c:v>
                </c:pt>
                <c:pt idx="7">
                  <c:v>0.8717924699779583</c:v>
                </c:pt>
                <c:pt idx="8">
                  <c:v>0.7727234988060453</c:v>
                </c:pt>
                <c:pt idx="9">
                  <c:v>0.5811913506057445</c:v>
                </c:pt>
                <c:pt idx="10">
                  <c:v>0.075</c:v>
                </c:pt>
              </c:numCache>
            </c:numRef>
          </c:xVal>
          <c:yVal>
            <c:numRef>
              <c:f>(Gloria!$B$78:$B$82,Gloria!$B$78:$B$83)</c:f>
              <c:numCache>
                <c:ptCount val="11"/>
                <c:pt idx="0">
                  <c:v>1.517020797613263</c:v>
                </c:pt>
                <c:pt idx="1">
                  <c:v>1.4479212476070336</c:v>
                </c:pt>
                <c:pt idx="2">
                  <c:v>1.3457569692822062</c:v>
                </c:pt>
                <c:pt idx="3">
                  <c:v>1.179331421265057</c:v>
                </c:pt>
                <c:pt idx="4">
                  <c:v>0.8680273685735792</c:v>
                </c:pt>
                <c:pt idx="5">
                  <c:v>1.517020797613263</c:v>
                </c:pt>
                <c:pt idx="6">
                  <c:v>1.4479212476070336</c:v>
                </c:pt>
                <c:pt idx="7">
                  <c:v>1.3457569692822062</c:v>
                </c:pt>
                <c:pt idx="8">
                  <c:v>1.179331421265057</c:v>
                </c:pt>
                <c:pt idx="9">
                  <c:v>0.8680273685735792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Gloria!$A$61:$A$66</c:f>
              <c:numCache>
                <c:ptCount val="6"/>
                <c:pt idx="0">
                  <c:v>0.8434161634846741</c:v>
                </c:pt>
                <c:pt idx="1">
                  <c:v>0.6829967794126154</c:v>
                </c:pt>
                <c:pt idx="2">
                  <c:v>0.5185991717681587</c:v>
                </c:pt>
                <c:pt idx="3">
                  <c:v>0.35007349927510456</c:v>
                </c:pt>
                <c:pt idx="4">
                  <c:v>0.18022790572701167</c:v>
                </c:pt>
                <c:pt idx="5">
                  <c:v>0.075</c:v>
                </c:pt>
              </c:numCache>
            </c:numRef>
          </c:xVal>
          <c:yVal>
            <c:numRef>
              <c:f>Gloria!$B$61:$B$66</c:f>
              <c:numCache>
                <c:ptCount val="6"/>
                <c:pt idx="0">
                  <c:v>1.517020797613263</c:v>
                </c:pt>
                <c:pt idx="1">
                  <c:v>1.4479212476070336</c:v>
                </c:pt>
                <c:pt idx="2">
                  <c:v>1.3457569692822062</c:v>
                </c:pt>
                <c:pt idx="3">
                  <c:v>1.179331421265057</c:v>
                </c:pt>
                <c:pt idx="4">
                  <c:v>0.8680273685735792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Gloria!$A$44:$A$49</c:f>
              <c:numCache>
                <c:ptCount val="6"/>
                <c:pt idx="0">
                  <c:v>0.4008211120249047</c:v>
                </c:pt>
                <c:pt idx="1">
                  <c:v>0.2110953217818837</c:v>
                </c:pt>
                <c:pt idx="2">
                  <c:v>0.1180025544972863</c:v>
                </c:pt>
                <c:pt idx="3">
                  <c:v>0.06270069854731701</c:v>
                </c:pt>
                <c:pt idx="4">
                  <c:v>0.026578408776460963</c:v>
                </c:pt>
                <c:pt idx="5">
                  <c:v>0.075</c:v>
                </c:pt>
              </c:numCache>
            </c:numRef>
          </c:xVal>
          <c:yVal>
            <c:numRef>
              <c:f>Gloria!$B$44:$B$49</c:f>
              <c:numCache>
                <c:ptCount val="6"/>
                <c:pt idx="0">
                  <c:v>1.517020797613263</c:v>
                </c:pt>
                <c:pt idx="1">
                  <c:v>1.4479212476070336</c:v>
                </c:pt>
                <c:pt idx="2">
                  <c:v>1.3457569692822062</c:v>
                </c:pt>
                <c:pt idx="3">
                  <c:v>1.179331421265057</c:v>
                </c:pt>
                <c:pt idx="4">
                  <c:v>0.8680273685735792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Gloria!$A$27:$A$32</c:f>
              <c:numCache>
                <c:ptCount val="6"/>
                <c:pt idx="0">
                  <c:v>0.4008211120249047</c:v>
                </c:pt>
                <c:pt idx="1">
                  <c:v>0.2110953217818837</c:v>
                </c:pt>
                <c:pt idx="2">
                  <c:v>0.1180025544972863</c:v>
                </c:pt>
                <c:pt idx="3">
                  <c:v>0.06270069854731701</c:v>
                </c:pt>
                <c:pt idx="4">
                  <c:v>0.026578408776460963</c:v>
                </c:pt>
                <c:pt idx="5">
                  <c:v>0.075</c:v>
                </c:pt>
              </c:numCache>
            </c:numRef>
          </c:xVal>
          <c:yVal>
            <c:numRef>
              <c:f>Gloria!$B$27:$B$32</c:f>
              <c:numCache>
                <c:ptCount val="6"/>
                <c:pt idx="0">
                  <c:v>1.517020797613263</c:v>
                </c:pt>
                <c:pt idx="1">
                  <c:v>1.4479212476070336</c:v>
                </c:pt>
                <c:pt idx="2">
                  <c:v>1.3457569692822062</c:v>
                </c:pt>
                <c:pt idx="3">
                  <c:v>1.179331421265057</c:v>
                </c:pt>
                <c:pt idx="4">
                  <c:v>0.8680273685735792</c:v>
                </c:pt>
                <c:pt idx="5">
                  <c:v>0</c:v>
                </c:pt>
              </c:numCache>
            </c:numRef>
          </c:yVal>
          <c:smooth val="0"/>
        </c:ser>
        <c:axId val="1323333"/>
        <c:axId val="11909998"/>
      </c:scatterChart>
      <c:valAx>
        <c:axId val="132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9998"/>
        <c:crosses val="autoZero"/>
        <c:crossBetween val="midCat"/>
        <c:dispUnits/>
      </c:valAx>
      <c:valAx>
        <c:axId val="1190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3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Gloria!$AM$6:$AM$14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081119"/>
        <c:axId val="25185752"/>
      </c:lineChart>
      <c:catAx>
        <c:axId val="4008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5752"/>
        <c:crosses val="autoZero"/>
        <c:auto val="1"/>
        <c:lblOffset val="100"/>
        <c:noMultiLvlLbl val="0"/>
      </c:catAx>
      <c:valAx>
        <c:axId val="2518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1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'Strong-SDT'!$R$47:$R$50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'Strong-SDT'!$S$47:$S$50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5345177"/>
        <c:axId val="26780002"/>
      </c:scatterChart>
      <c:valAx>
        <c:axId val="2534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0002"/>
        <c:crosses val="autoZero"/>
        <c:crossBetween val="midCat"/>
        <c:dispUnits/>
      </c:valAx>
      <c:valAx>
        <c:axId val="2678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5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'expt crit'!$B$33:$B$92</c:f>
              <c:numCache>
                <c:ptCount val="60"/>
                <c:pt idx="0">
                  <c:v>4.23145833758545</c:v>
                </c:pt>
                <c:pt idx="1">
                  <c:v>2.508884725206337</c:v>
                </c:pt>
                <c:pt idx="2">
                  <c:v>1.9344324475664947</c:v>
                </c:pt>
                <c:pt idx="3">
                  <c:v>1.6471573324220343</c:v>
                </c:pt>
                <c:pt idx="4">
                  <c:v>1.4747765877045385</c:v>
                </c:pt>
                <c:pt idx="5">
                  <c:v>1.3598495589708444</c:v>
                </c:pt>
                <c:pt idx="6">
                  <c:v>1.2777556244552208</c:v>
                </c:pt>
                <c:pt idx="7">
                  <c:v>1.2161834236398508</c:v>
                </c:pt>
                <c:pt idx="8">
                  <c:v>1.1682928970827307</c:v>
                </c:pt>
                <c:pt idx="9">
                  <c:v>1.1299798224864805</c:v>
                </c:pt>
                <c:pt idx="10">
                  <c:v>1.0986323294758313</c:v>
                </c:pt>
                <c:pt idx="11">
                  <c:v>1.0725091216435658</c:v>
                </c:pt>
                <c:pt idx="12">
                  <c:v>1.050404657978584</c:v>
                </c:pt>
                <c:pt idx="13">
                  <c:v>1.0314578209760026</c:v>
                </c:pt>
                <c:pt idx="14">
                  <c:v>1.0150371140227867</c:v>
                </c:pt>
                <c:pt idx="15">
                  <c:v>1.0006689079283275</c:v>
                </c:pt>
                <c:pt idx="16">
                  <c:v>0.9879910111927419</c:v>
                </c:pt>
                <c:pt idx="17">
                  <c:v>0.9767217162658877</c:v>
                </c:pt>
                <c:pt idx="18">
                  <c:v>0.9666386203210083</c:v>
                </c:pt>
                <c:pt idx="19">
                  <c:v>0.9575637995795718</c:v>
                </c:pt>
                <c:pt idx="20">
                  <c:v>0.9493532194057026</c:v>
                </c:pt>
                <c:pt idx="21">
                  <c:v>0.9418890324671227</c:v>
                </c:pt>
                <c:pt idx="22">
                  <c:v>0.9350738860119114</c:v>
                </c:pt>
                <c:pt idx="23">
                  <c:v>0.9288266522856221</c:v>
                </c:pt>
                <c:pt idx="24">
                  <c:v>0.9230791836203316</c:v>
                </c:pt>
                <c:pt idx="25">
                  <c:v>0.9177738163296465</c:v>
                </c:pt>
                <c:pt idx="26">
                  <c:v>0.9128614292796938</c:v>
                </c:pt>
                <c:pt idx="27">
                  <c:v>0.9082999184704783</c:v>
                </c:pt>
                <c:pt idx="28">
                  <c:v>0.9040529872136728</c:v>
                </c:pt>
                <c:pt idx="29">
                  <c:v>0.9000891782693483</c:v>
                </c:pt>
                <c:pt idx="30">
                  <c:v>0.8963810933069576</c:v>
                </c:pt>
                <c:pt idx="31">
                  <c:v>0.8929047587142638</c:v>
                </c:pt>
                <c:pt idx="32">
                  <c:v>0.8896391067113527</c:v>
                </c:pt>
                <c:pt idx="33">
                  <c:v>0.8865655480309245</c:v>
                </c:pt>
                <c:pt idx="34">
                  <c:v>0.8836676178519633</c:v>
                </c:pt>
                <c:pt idx="35">
                  <c:v>0.8809306807433454</c:v>
                </c:pt>
                <c:pt idx="36">
                  <c:v>0.8783416834535457</c:v>
                </c:pt>
                <c:pt idx="37">
                  <c:v>0.8758889467328498</c:v>
                </c:pt>
                <c:pt idx="38">
                  <c:v>0.8735619891823562</c:v>
                </c:pt>
                <c:pt idx="39">
                  <c:v>0.8713513775251785</c:v>
                </c:pt>
                <c:pt idx="40">
                  <c:v>0.8692485987888144</c:v>
                </c:pt>
                <c:pt idx="41">
                  <c:v>0.8672459507468787</c:v>
                </c:pt>
                <c:pt idx="42">
                  <c:v>0.8653364476477954</c:v>
                </c:pt>
                <c:pt idx="43">
                  <c:v>0.8635137387984673</c:v>
                </c:pt>
                <c:pt idx="44">
                  <c:v>0.8617720380032932</c:v>
                </c:pt>
                <c:pt idx="45">
                  <c:v>0.8601060622066535</c:v>
                </c:pt>
                <c:pt idx="46">
                  <c:v>0.8585109779681582</c:v>
                </c:pt>
                <c:pt idx="47">
                  <c:v>0.8569823546283915</c:v>
                </c:pt>
                <c:pt idx="48">
                  <c:v>0.8555161232093855</c:v>
                </c:pt>
                <c:pt idx="49">
                  <c:v>0.8541085402469687</c:v>
                </c:pt>
                <c:pt idx="50">
                  <c:v>0.8527561558780753</c:v>
                </c:pt>
                <c:pt idx="51">
                  <c:v>0.85145578561024</c:v>
                </c:pt>
                <c:pt idx="52">
                  <c:v>0.8502044852869585</c:v>
                </c:pt>
                <c:pt idx="53">
                  <c:v>0.848999528834638</c:v>
                </c:pt>
                <c:pt idx="54">
                  <c:v>0.8478383884371246</c:v>
                </c:pt>
                <c:pt idx="55">
                  <c:v>0.8467187168343616</c:v>
                </c:pt>
                <c:pt idx="56">
                  <c:v>0.8456383314843248</c:v>
                </c:pt>
                <c:pt idx="57">
                  <c:v>0.8445952003633594</c:v>
                </c:pt>
                <c:pt idx="58">
                  <c:v>0.8435874292105334</c:v>
                </c:pt>
                <c:pt idx="59">
                  <c:v>0.8426132500475408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'expt crit'!$R$33:$R$92</c:f>
              <c:numCache>
                <c:ptCount val="60"/>
                <c:pt idx="0">
                  <c:v>4.23145833758545</c:v>
                </c:pt>
                <c:pt idx="1">
                  <c:v>2.508884725206337</c:v>
                </c:pt>
                <c:pt idx="2">
                  <c:v>1.9344324475664947</c:v>
                </c:pt>
                <c:pt idx="3">
                  <c:v>1.6471573324220343</c:v>
                </c:pt>
                <c:pt idx="4">
                  <c:v>1.4747765877045385</c:v>
                </c:pt>
                <c:pt idx="5">
                  <c:v>1.3598495589708444</c:v>
                </c:pt>
                <c:pt idx="6">
                  <c:v>1.2777556244552208</c:v>
                </c:pt>
                <c:pt idx="7">
                  <c:v>1.2161834236398508</c:v>
                </c:pt>
                <c:pt idx="8">
                  <c:v>1.1682928970827307</c:v>
                </c:pt>
                <c:pt idx="9">
                  <c:v>1.1299798224864805</c:v>
                </c:pt>
                <c:pt idx="10">
                  <c:v>1.0986323294758313</c:v>
                </c:pt>
                <c:pt idx="11">
                  <c:v>1.0725091216435658</c:v>
                </c:pt>
                <c:pt idx="12">
                  <c:v>1.050404657978584</c:v>
                </c:pt>
                <c:pt idx="13">
                  <c:v>1.0314578209760026</c:v>
                </c:pt>
                <c:pt idx="14">
                  <c:v>1.0150371140227867</c:v>
                </c:pt>
                <c:pt idx="15">
                  <c:v>1.0006689079283275</c:v>
                </c:pt>
                <c:pt idx="16">
                  <c:v>0.9879910111927419</c:v>
                </c:pt>
                <c:pt idx="17">
                  <c:v>0.9767217162658877</c:v>
                </c:pt>
                <c:pt idx="18">
                  <c:v>0.9666386203210083</c:v>
                </c:pt>
                <c:pt idx="19">
                  <c:v>0.9575637995795718</c:v>
                </c:pt>
                <c:pt idx="20">
                  <c:v>0.9493532194057026</c:v>
                </c:pt>
                <c:pt idx="21">
                  <c:v>0.9418890324671227</c:v>
                </c:pt>
                <c:pt idx="22">
                  <c:v>0.9350738860119114</c:v>
                </c:pt>
                <c:pt idx="23">
                  <c:v>0.9288266522856221</c:v>
                </c:pt>
                <c:pt idx="24">
                  <c:v>0.9230791836203316</c:v>
                </c:pt>
                <c:pt idx="25">
                  <c:v>0.9177738163296465</c:v>
                </c:pt>
                <c:pt idx="26">
                  <c:v>0.9128614292796938</c:v>
                </c:pt>
                <c:pt idx="27">
                  <c:v>0.9082999184704783</c:v>
                </c:pt>
                <c:pt idx="28">
                  <c:v>0.9040529872136728</c:v>
                </c:pt>
                <c:pt idx="29">
                  <c:v>0.9000891782693483</c:v>
                </c:pt>
                <c:pt idx="30">
                  <c:v>0.8963810933069576</c:v>
                </c:pt>
                <c:pt idx="31">
                  <c:v>0.8929047587142638</c:v>
                </c:pt>
                <c:pt idx="32">
                  <c:v>0.8896391067113527</c:v>
                </c:pt>
                <c:pt idx="33">
                  <c:v>0.8865655480309245</c:v>
                </c:pt>
                <c:pt idx="34">
                  <c:v>0.8836676178519633</c:v>
                </c:pt>
                <c:pt idx="35">
                  <c:v>0.8809306807433454</c:v>
                </c:pt>
                <c:pt idx="36">
                  <c:v>0.8783416834535457</c:v>
                </c:pt>
                <c:pt idx="37">
                  <c:v>0.8758889467328498</c:v>
                </c:pt>
                <c:pt idx="38">
                  <c:v>0.8735619891823562</c:v>
                </c:pt>
                <c:pt idx="39">
                  <c:v>0.8713513775251785</c:v>
                </c:pt>
                <c:pt idx="40">
                  <c:v>0.8692485987888144</c:v>
                </c:pt>
                <c:pt idx="41">
                  <c:v>0.8672459507468787</c:v>
                </c:pt>
                <c:pt idx="42">
                  <c:v>0.8653364476477954</c:v>
                </c:pt>
                <c:pt idx="43">
                  <c:v>0.8635137387984673</c:v>
                </c:pt>
                <c:pt idx="44">
                  <c:v>0.8617720380032932</c:v>
                </c:pt>
                <c:pt idx="45">
                  <c:v>0.8601060622066535</c:v>
                </c:pt>
                <c:pt idx="46">
                  <c:v>0.8585109779681582</c:v>
                </c:pt>
                <c:pt idx="47">
                  <c:v>0.8569823546283915</c:v>
                </c:pt>
                <c:pt idx="48">
                  <c:v>0.8555161232093855</c:v>
                </c:pt>
                <c:pt idx="49">
                  <c:v>0.8541085402469687</c:v>
                </c:pt>
                <c:pt idx="50">
                  <c:v>0.8527561558780753</c:v>
                </c:pt>
                <c:pt idx="51">
                  <c:v>0.85145578561024</c:v>
                </c:pt>
                <c:pt idx="52">
                  <c:v>0.8502044852869585</c:v>
                </c:pt>
                <c:pt idx="53">
                  <c:v>0.848999528834638</c:v>
                </c:pt>
                <c:pt idx="54">
                  <c:v>0.8478383884371246</c:v>
                </c:pt>
                <c:pt idx="55">
                  <c:v>0.8467187168343616</c:v>
                </c:pt>
                <c:pt idx="56">
                  <c:v>0.8456383314843248</c:v>
                </c:pt>
                <c:pt idx="57">
                  <c:v>0.8445952003633594</c:v>
                </c:pt>
                <c:pt idx="58">
                  <c:v>0.8435874292105334</c:v>
                </c:pt>
                <c:pt idx="59">
                  <c:v>0.8426132500475408</c:v>
                </c:pt>
              </c:numCache>
            </c:numRef>
          </c:val>
          <c:smooth val="1"/>
        </c:ser>
        <c:marker val="1"/>
        <c:axId val="39693427"/>
        <c:axId val="21696524"/>
      </c:lineChart>
      <c:catAx>
        <c:axId val="39693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6524"/>
        <c:crosses val="autoZero"/>
        <c:auto val="1"/>
        <c:lblOffset val="100"/>
        <c:noMultiLvlLbl val="0"/>
      </c:catAx>
      <c:valAx>
        <c:axId val="21696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3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Figure 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'expt crit'!$AM$33</c:f>
              <c:strCache>
                <c:ptCount val="1"/>
                <c:pt idx="0">
                  <c:v>Model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'expt crit'!$AL$34:$AL$81</c:f>
              <c:numCache>
                <c:ptCount val="48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</c:numCache>
            </c:numRef>
          </c:xVal>
          <c:yVal>
            <c:numRef>
              <c:f>'expt crit'!$AM$34:$AM$81</c:f>
              <c:numCache>
                <c:ptCount val="48"/>
                <c:pt idx="0">
                  <c:v>-0.6956468875117154</c:v>
                </c:pt>
                <c:pt idx="1">
                  <c:v>-0.8544049100013619</c:v>
                </c:pt>
                <c:pt idx="2">
                  <c:v>-0.9726312445098791</c:v>
                </c:pt>
                <c:pt idx="3">
                  <c:v>-1.057760646997041</c:v>
                </c:pt>
                <c:pt idx="4">
                  <c:v>-1.120935433710336</c:v>
                </c:pt>
                <c:pt idx="5">
                  <c:v>-1.169405892010642</c:v>
                </c:pt>
                <c:pt idx="6">
                  <c:v>-1.2076850716725938</c:v>
                </c:pt>
                <c:pt idx="7">
                  <c:v>-1.2386518679260625</c:v>
                </c:pt>
                <c:pt idx="8">
                  <c:v>-1.2642083585813204</c:v>
                </c:pt>
                <c:pt idx="9">
                  <c:v>-1.2856549022145656</c:v>
                </c:pt>
                <c:pt idx="10">
                  <c:v>-1.3039081564682262</c:v>
                </c:pt>
                <c:pt idx="11">
                  <c:v>-1.319631898774268</c:v>
                </c:pt>
                <c:pt idx="12">
                  <c:v>-1.3333181941359755</c:v>
                </c:pt>
                <c:pt idx="13">
                  <c:v>-1.34533937098705</c:v>
                </c:pt>
                <c:pt idx="14">
                  <c:v>-1.3559822754388544</c:v>
                </c:pt>
                <c:pt idx="15">
                  <c:v>-1.365471438335348</c:v>
                </c:pt>
                <c:pt idx="16">
                  <c:v>-1.3739851117369348</c:v>
                </c:pt>
                <c:pt idx="17">
                  <c:v>-1.3816666031547047</c:v>
                </c:pt>
                <c:pt idx="18">
                  <c:v>-1.3886324377801804</c:v>
                </c:pt>
                <c:pt idx="19">
                  <c:v>-1.3949783365907624</c:v>
                </c:pt>
                <c:pt idx="20">
                  <c:v>-1.4007836622809315</c:v>
                </c:pt>
                <c:pt idx="21">
                  <c:v>-1.4061147720070273</c:v>
                </c:pt>
                <c:pt idx="22">
                  <c:v>-1.4110275780141563</c:v>
                </c:pt>
                <c:pt idx="23">
                  <c:v>-1.4155695261267123</c:v>
                </c:pt>
                <c:pt idx="24">
                  <c:v>-1.4197811408330536</c:v>
                </c:pt>
                <c:pt idx="25">
                  <c:v>-1.4236972438180144</c:v>
                </c:pt>
                <c:pt idx="26">
                  <c:v>-1.4273479237241156</c:v>
                </c:pt>
                <c:pt idx="27">
                  <c:v>-1.4307593144506972</c:v>
                </c:pt>
                <c:pt idx="28">
                  <c:v>-1.4339542246944474</c:v>
                </c:pt>
                <c:pt idx="29">
                  <c:v>-1.4369526508861685</c:v>
                </c:pt>
                <c:pt idx="30">
                  <c:v>-1.4397721979729705</c:v>
                </c:pt>
                <c:pt idx="31">
                  <c:v>-1.4424284268061576</c:v>
                </c:pt>
                <c:pt idx="32">
                  <c:v>-1.4449351426531656</c:v>
                </c:pt>
                <c:pt idx="33">
                  <c:v>-1.4473046361593098</c:v>
                </c:pt>
                <c:pt idx="34">
                  <c:v>-1.449547885661275</c:v>
                </c:pt>
                <c:pt idx="35">
                  <c:v>-1.4516747278988231</c:v>
                </c:pt>
                <c:pt idx="36">
                  <c:v>-1.4536940027398109</c:v>
                </c:pt>
                <c:pt idx="37">
                  <c:v>-1.4556136764213148</c:v>
                </c:pt>
                <c:pt idx="38">
                  <c:v>-1.457440946939251</c:v>
                </c:pt>
                <c:pt idx="39">
                  <c:v>-1.459182334533372</c:v>
                </c:pt>
                <c:pt idx="40">
                  <c:v>-1.4608437596711648</c:v>
                </c:pt>
                <c:pt idx="41">
                  <c:v>-1.4624306105010907</c:v>
                </c:pt>
                <c:pt idx="42">
                  <c:v>-1.4639478013983258</c:v>
                </c:pt>
                <c:pt idx="43">
                  <c:v>-1.4653998239463268</c:v>
                </c:pt>
                <c:pt idx="44">
                  <c:v>-1.4667907914708096</c:v>
                </c:pt>
                <c:pt idx="45">
                  <c:v>-1.468124478058207</c:v>
                </c:pt>
                <c:pt idx="46">
                  <c:v>-1.4694043528397296</c:v>
                </c:pt>
                <c:pt idx="47">
                  <c:v>-1.470633610198215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'expt crit'!$AN$33</c:f>
              <c:strCache>
                <c:ptCount val="1"/>
                <c:pt idx="0">
                  <c:v>Model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'expt crit'!$AL$34:$AL$81</c:f>
              <c:numCache>
                <c:ptCount val="48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</c:numCache>
            </c:numRef>
          </c:xVal>
          <c:yVal>
            <c:numRef>
              <c:f>'expt crit'!$AN$34:$AN$81</c:f>
              <c:numCache>
                <c:ptCount val="48"/>
                <c:pt idx="0">
                  <c:v>-0.18920333889307347</c:v>
                </c:pt>
                <c:pt idx="1">
                  <c:v>-0.22384046648483713</c:v>
                </c:pt>
                <c:pt idx="2">
                  <c:v>-0.26968571222139176</c:v>
                </c:pt>
                <c:pt idx="3">
                  <c:v>-0.3135302541413259</c:v>
                </c:pt>
                <c:pt idx="4">
                  <c:v>-0.3541612345453583</c:v>
                </c:pt>
                <c:pt idx="5">
                  <c:v>-0.3917504496709577</c:v>
                </c:pt>
                <c:pt idx="6">
                  <c:v>-0.4266386177827768</c:v>
                </c:pt>
                <c:pt idx="7">
                  <c:v>-0.45914510649588636</c:v>
                </c:pt>
                <c:pt idx="8">
                  <c:v>-0.489541824081744</c:v>
                </c:pt>
                <c:pt idx="9">
                  <c:v>-0.5180569184720797</c:v>
                </c:pt>
                <c:pt idx="10">
                  <c:v>-0.5448827134874509</c:v>
                </c:pt>
                <c:pt idx="11">
                  <c:v>-0.5701828483255189</c:v>
                </c:pt>
                <c:pt idx="12">
                  <c:v>-0.5940979199369534</c:v>
                </c:pt>
                <c:pt idx="13">
                  <c:v>-0.6167498188084484</c:v>
                </c:pt>
                <c:pt idx="14">
                  <c:v>-0.6382450637063445</c:v>
                </c:pt>
                <c:pt idx="15">
                  <c:v>-0.6586773934918457</c:v>
                </c:pt>
                <c:pt idx="16">
                  <c:v>-0.6781298084489321</c:v>
                </c:pt>
                <c:pt idx="17">
                  <c:v>-0.6966761998616864</c:v>
                </c:pt>
                <c:pt idx="18">
                  <c:v>-0.7143826674831206</c:v>
                </c:pt>
                <c:pt idx="19">
                  <c:v>-0.7313085970284305</c:v>
                </c:pt>
                <c:pt idx="20">
                  <c:v>-0.7475075505741468</c:v>
                </c:pt>
                <c:pt idx="21">
                  <c:v>-0.7630280091857728</c:v>
                </c:pt>
                <c:pt idx="22">
                  <c:v>-0.7779139974360897</c:v>
                </c:pt>
                <c:pt idx="23">
                  <c:v>-0.7922056124989738</c:v>
                </c:pt>
                <c:pt idx="24">
                  <c:v>-0.8059394753921783</c:v>
                </c:pt>
                <c:pt idx="25">
                  <c:v>-0.8191491181453526</c:v>
                </c:pt>
                <c:pt idx="26">
                  <c:v>-0.831865317810968</c:v>
                </c:pt>
                <c:pt idx="27">
                  <c:v>-0.8441163860566229</c:v>
                </c:pt>
                <c:pt idx="28">
                  <c:v>-0.8559284213965698</c:v>
                </c:pt>
                <c:pt idx="29">
                  <c:v>-0.8673255298101519</c:v>
                </c:pt>
                <c:pt idx="30">
                  <c:v>-0.8783300184633472</c:v>
                </c:pt>
                <c:pt idx="31">
                  <c:v>-0.888962566430073</c:v>
                </c:pt>
                <c:pt idx="32">
                  <c:v>-0.8992423756533335</c:v>
                </c:pt>
                <c:pt idx="33">
                  <c:v>-0.909187304856119</c:v>
                </c:pt>
                <c:pt idx="34">
                  <c:v>-0.9188139886809001</c:v>
                </c:pt>
                <c:pt idx="35">
                  <c:v>-0.9281379439836804</c:v>
                </c:pt>
                <c:pt idx="36">
                  <c:v>-0.9371736649179648</c:v>
                </c:pt>
                <c:pt idx="37">
                  <c:v>-0.9459347082033265</c:v>
                </c:pt>
                <c:pt idx="38">
                  <c:v>-0.9544337697728432</c:v>
                </c:pt>
                <c:pt idx="39">
                  <c:v>-0.9626827538260068</c:v>
                </c:pt>
                <c:pt idx="40">
                  <c:v>-0.9706928351727487</c:v>
                </c:pt>
                <c:pt idx="41">
                  <c:v>-0.9784745156352423</c:v>
                </c:pt>
                <c:pt idx="42">
                  <c:v>-0.9860376751732515</c:v>
                </c:pt>
                <c:pt idx="43">
                  <c:v>-0.9933916183129871</c:v>
                </c:pt>
                <c:pt idx="44">
                  <c:v>-1.000545116386096</c:v>
                </c:pt>
                <c:pt idx="45">
                  <c:v>-1.0075064460226115</c:v>
                </c:pt>
                <c:pt idx="46">
                  <c:v>-1.0142834242876588</c:v>
                </c:pt>
                <c:pt idx="47">
                  <c:v>-1.0208834408051508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'expt crit'!$AO$33</c:f>
              <c:strCache>
                <c:ptCount val="1"/>
                <c:pt idx="0">
                  <c:v>Model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'expt crit'!$AL$34:$AL$81</c:f>
              <c:numCache>
                <c:ptCount val="48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</c:numCache>
            </c:numRef>
          </c:xVal>
          <c:yVal>
            <c:numRef>
              <c:f>'expt crit'!$AO$34:$AO$81</c:f>
              <c:numCache>
                <c:ptCount val="48"/>
                <c:pt idx="0">
                  <c:v>-0.06469333703590253</c:v>
                </c:pt>
                <c:pt idx="1">
                  <c:v>-0.04851095496484408</c:v>
                </c:pt>
                <c:pt idx="2">
                  <c:v>-0.050987285219111535</c:v>
                </c:pt>
                <c:pt idx="3">
                  <c:v>-0.0570183582767039</c:v>
                </c:pt>
                <c:pt idx="4">
                  <c:v>-0.06407651588088305</c:v>
                </c:pt>
                <c:pt idx="5">
                  <c:v>-0.07148358076346623</c:v>
                </c:pt>
                <c:pt idx="6">
                  <c:v>-0.07900230057388342</c:v>
                </c:pt>
                <c:pt idx="7">
                  <c:v>-0.0865344199053653</c:v>
                </c:pt>
                <c:pt idx="8">
                  <c:v>-0.09403437363309353</c:v>
                </c:pt>
                <c:pt idx="9">
                  <c:v>-0.101479376350712</c:v>
                </c:pt>
                <c:pt idx="10">
                  <c:v>-0.10885750942865476</c:v>
                </c:pt>
                <c:pt idx="11">
                  <c:v>-0.11616244746875853</c:v>
                </c:pt>
                <c:pt idx="12">
                  <c:v>-0.12339092141208273</c:v>
                </c:pt>
                <c:pt idx="13">
                  <c:v>-0.13054141333465985</c:v>
                </c:pt>
                <c:pt idx="14">
                  <c:v>-0.13761344671352937</c:v>
                </c:pt>
                <c:pt idx="15">
                  <c:v>-0.14460718220818053</c:v>
                </c:pt>
                <c:pt idx="16">
                  <c:v>-0.15152317825809766</c:v>
                </c:pt>
                <c:pt idx="17">
                  <c:v>-0.1583622444936951</c:v>
                </c:pt>
                <c:pt idx="18">
                  <c:v>-0.16512534939056037</c:v>
                </c:pt>
                <c:pt idx="19">
                  <c:v>-0.17181356066908646</c:v>
                </c:pt>
                <c:pt idx="20">
                  <c:v>-0.1784280060324903</c:v>
                </c:pt>
                <c:pt idx="21">
                  <c:v>-0.18496984685889772</c:v>
                </c:pt>
                <c:pt idx="22">
                  <c:v>-0.1914402603303466</c:v>
                </c:pt>
                <c:pt idx="23">
                  <c:v>-0.19784042716679515</c:v>
                </c:pt>
                <c:pt idx="24">
                  <c:v>-0.2041715231500551</c:v>
                </c:pt>
                <c:pt idx="25">
                  <c:v>-0.2104347132507875</c:v>
                </c:pt>
                <c:pt idx="26">
                  <c:v>-0.21663114756831647</c:v>
                </c:pt>
                <c:pt idx="27">
                  <c:v>-0.22276195854832723</c:v>
                </c:pt>
                <c:pt idx="28">
                  <c:v>-0.22882825911086402</c:v>
                </c:pt>
                <c:pt idx="29">
                  <c:v>-0.23483114143254535</c:v>
                </c:pt>
                <c:pt idx="30">
                  <c:v>-0.2407716762023601</c:v>
                </c:pt>
                <c:pt idx="31">
                  <c:v>-0.24665091222214486</c:v>
                </c:pt>
                <c:pt idx="32">
                  <c:v>-0.25246987625883016</c:v>
                </c:pt>
                <c:pt idx="33">
                  <c:v>-0.2582295730808192</c:v>
                </c:pt>
                <c:pt idx="34">
                  <c:v>-0.2639309856288763</c:v>
                </c:pt>
                <c:pt idx="35">
                  <c:v>-0.269575075284826</c:v>
                </c:pt>
                <c:pt idx="36">
                  <c:v>-0.27516278221073565</c:v>
                </c:pt>
                <c:pt idx="37">
                  <c:v>-0.2806950257381377</c:v>
                </c:pt>
                <c:pt idx="38">
                  <c:v>-0.2861727047919134</c:v>
                </c:pt>
                <c:pt idx="39">
                  <c:v>-0.2915966983372188</c:v>
                </c:pt>
                <c:pt idx="40">
                  <c:v>-0.2969678658406707</c:v>
                </c:pt>
                <c:pt idx="41">
                  <c:v>-0.30228704773913195</c:v>
                </c:pt>
                <c:pt idx="42">
                  <c:v>-0.3075550659110525</c:v>
                </c:pt>
                <c:pt idx="43">
                  <c:v>-0.31277272414654717</c:v>
                </c:pt>
                <c:pt idx="44">
                  <c:v>-0.31794080861334406</c:v>
                </c:pt>
                <c:pt idx="45">
                  <c:v>-0.32306008831644734</c:v>
                </c:pt>
                <c:pt idx="46">
                  <c:v>-0.3281313155499323</c:v>
                </c:pt>
                <c:pt idx="47">
                  <c:v>-0.3331552263397155</c:v>
                </c:pt>
              </c:numCache>
            </c:numRef>
          </c:yVal>
          <c:smooth val="0"/>
        </c:ser>
        <c:ser>
          <c:idx val="3"/>
          <c:order val="3"/>
          <c:tx>
            <c:v>Model FA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'expt crit'!$AD$34:$AD$81</c:f>
              <c:numCache>
                <c:ptCount val="48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</c:numCache>
            </c:numRef>
          </c:xVal>
          <c:yVal>
            <c:numRef>
              <c:f>'expt crit'!$AE$34:$AE$81</c:f>
              <c:numCache>
                <c:ptCount val="48"/>
                <c:pt idx="0">
                  <c:v>-5.106763551587383</c:v>
                </c:pt>
                <c:pt idx="1">
                  <c:v>-3.629479483688501</c:v>
                </c:pt>
                <c:pt idx="2">
                  <c:v>-3.0004864436256655</c:v>
                </c:pt>
                <c:pt idx="3">
                  <c:v>-2.6573146619416548</c:v>
                </c:pt>
                <c:pt idx="4">
                  <c:v>-2.4425512255651847</c:v>
                </c:pt>
                <c:pt idx="5">
                  <c:v>-2.295929264856293</c:v>
                </c:pt>
                <c:pt idx="6">
                  <c:v>-2.189635690242945</c:v>
                </c:pt>
                <c:pt idx="7">
                  <c:v>-2.109123156817134</c:v>
                </c:pt>
                <c:pt idx="8">
                  <c:v>-2.0460658512923127</c:v>
                </c:pt>
                <c:pt idx="9">
                  <c:v>-1.9953634051059035</c:v>
                </c:pt>
                <c:pt idx="10">
                  <c:v>-1.9537206044842104</c:v>
                </c:pt>
                <c:pt idx="11">
                  <c:v>-1.9189154395732748</c:v>
                </c:pt>
                <c:pt idx="12">
                  <c:v>-1.8893959652330927</c:v>
                </c:pt>
                <c:pt idx="13">
                  <c:v>-1.8640458920867844</c:v>
                </c:pt>
                <c:pt idx="14">
                  <c:v>-1.8420419992700883</c:v>
                </c:pt>
                <c:pt idx="15">
                  <c:v>-1.8227640301179742</c:v>
                </c:pt>
                <c:pt idx="16">
                  <c:v>-1.8057358623933</c:v>
                </c:pt>
                <c:pt idx="17">
                  <c:v>-1.7905859950775984</c:v>
                </c:pt>
                <c:pt idx="18">
                  <c:v>-1.7770203436036964</c:v>
                </c:pt>
                <c:pt idx="19">
                  <c:v>-1.7648030954695062</c:v>
                </c:pt>
                <c:pt idx="20">
                  <c:v>-1.75374297364945</c:v>
                </c:pt>
                <c:pt idx="21">
                  <c:v>-1.7436832072845732</c:v>
                </c:pt>
                <c:pt idx="22">
                  <c:v>-1.7344940935381312</c:v>
                </c:pt>
                <c:pt idx="23">
                  <c:v>-1.726067402419059</c:v>
                </c:pt>
                <c:pt idx="24">
                  <c:v>-1.7183121133355113</c:v>
                </c:pt>
                <c:pt idx="25">
                  <c:v>-1.711151127937372</c:v>
                </c:pt>
                <c:pt idx="26">
                  <c:v>-1.7045187081803232</c:v>
                </c:pt>
                <c:pt idx="27">
                  <c:v>-1.6983584596769534</c:v>
                </c:pt>
                <c:pt idx="28">
                  <c:v>-1.6926217296475548</c:v>
                </c:pt>
                <c:pt idx="29">
                  <c:v>-1.687266323375897</c:v>
                </c:pt>
                <c:pt idx="30">
                  <c:v>-1.6822554677013635</c:v>
                </c:pt>
                <c:pt idx="31">
                  <c:v>-1.6775569678286917</c:v>
                </c:pt>
                <c:pt idx="32">
                  <c:v>-1.6731425166785023</c:v>
                </c:pt>
                <c:pt idx="33">
                  <c:v>-1.6689871255398903</c:v>
                </c:pt>
                <c:pt idx="34">
                  <c:v>-1.665068651886887</c:v>
                </c:pt>
                <c:pt idx="35">
                  <c:v>-1.6613674055562195</c:v>
                </c:pt>
                <c:pt idx="36">
                  <c:v>-1.657865818528721</c:v>
                </c:pt>
                <c:pt idx="37">
                  <c:v>-1.6545481666487585</c:v>
                </c:pt>
                <c:pt idx="38">
                  <c:v>-1.651400333997993</c:v>
                </c:pt>
                <c:pt idx="39">
                  <c:v>-1.648409612488475</c:v>
                </c:pt>
                <c:pt idx="40">
                  <c:v>-1.6455645306846889</c:v>
                </c:pt>
                <c:pt idx="41">
                  <c:v>-1.6428547070006834</c:v>
                </c:pt>
                <c:pt idx="42">
                  <c:v>-1.6402707233179648</c:v>
                </c:pt>
                <c:pt idx="43">
                  <c:v>-1.6378040157862064</c:v>
                </c:pt>
                <c:pt idx="44">
                  <c:v>-1.6354467801423815</c:v>
                </c:pt>
                <c:pt idx="45">
                  <c:v>-1.633191889345789</c:v>
                </c:pt>
                <c:pt idx="46">
                  <c:v>-1.6310328217000603</c:v>
                </c:pt>
                <c:pt idx="47">
                  <c:v>-1.6289635979371653</c:v>
                </c:pt>
              </c:numCache>
            </c:numRef>
          </c:yVal>
          <c:smooth val="0"/>
        </c:ser>
        <c:ser>
          <c:idx val="4"/>
          <c:order val="4"/>
          <c:tx>
            <c:v>Obs Group B4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crit'!$AU$16:$AU$20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crit'!$AV$16:$AV$20</c:f>
              <c:numCache>
                <c:ptCount val="5"/>
                <c:pt idx="0">
                  <c:v>-0.020202707317519466</c:v>
                </c:pt>
                <c:pt idx="1">
                  <c:v>-0.06187540371808753</c:v>
                </c:pt>
                <c:pt idx="2">
                  <c:v>-0.07257069283483537</c:v>
                </c:pt>
                <c:pt idx="3">
                  <c:v>-0.18632957819149348</c:v>
                </c:pt>
                <c:pt idx="4">
                  <c:v>-0.35667494393873245</c:v>
                </c:pt>
              </c:numCache>
            </c:numRef>
          </c:yVal>
          <c:smooth val="0"/>
        </c:ser>
        <c:ser>
          <c:idx val="5"/>
          <c:order val="5"/>
          <c:tx>
            <c:v>Obs Group A2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crit'!$AU$36:$AU$40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crit'!$AV$36:$AV$40</c:f>
              <c:numCache>
                <c:ptCount val="5"/>
                <c:pt idx="0">
                  <c:v>-0.21072103131565253</c:v>
                </c:pt>
                <c:pt idx="1">
                  <c:v>-0.342490308946776</c:v>
                </c:pt>
                <c:pt idx="2">
                  <c:v>-0.4462871026284195</c:v>
                </c:pt>
                <c:pt idx="3">
                  <c:v>-0.7133498878774648</c:v>
                </c:pt>
                <c:pt idx="4">
                  <c:v>-0.6539264674066639</c:v>
                </c:pt>
              </c:numCache>
            </c:numRef>
          </c:yVal>
          <c:smooth val="0"/>
        </c:ser>
        <c:ser>
          <c:idx val="6"/>
          <c:order val="6"/>
          <c:tx>
            <c:v>Obs Group B1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crit'!$AU$53:$AU$57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crit'!$AV$53:$AV$57</c:f>
              <c:numCache>
                <c:ptCount val="5"/>
                <c:pt idx="0">
                  <c:v>-0.8209805520698302</c:v>
                </c:pt>
                <c:pt idx="1">
                  <c:v>-1.171182981502945</c:v>
                </c:pt>
                <c:pt idx="2">
                  <c:v>-1.171182981502945</c:v>
                </c:pt>
                <c:pt idx="3">
                  <c:v>-1.4696759700589417</c:v>
                </c:pt>
                <c:pt idx="4">
                  <c:v>-1.3470736479666092</c:v>
                </c:pt>
              </c:numCache>
            </c:numRef>
          </c:yVal>
          <c:smooth val="0"/>
        </c:ser>
        <c:ser>
          <c:idx val="7"/>
          <c:order val="7"/>
          <c:tx>
            <c:v>Obs Group A1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crit'!$AU$70:$AU$74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crit'!$AV$70:$AV$74</c:f>
              <c:numCache>
                <c:ptCount val="5"/>
                <c:pt idx="0">
                  <c:v>-0.6733445532637656</c:v>
                </c:pt>
                <c:pt idx="1">
                  <c:v>-1.1086626245216111</c:v>
                </c:pt>
                <c:pt idx="2">
                  <c:v>-0.9942522733438669</c:v>
                </c:pt>
                <c:pt idx="3">
                  <c:v>-0.9942522733438669</c:v>
                </c:pt>
                <c:pt idx="4">
                  <c:v>-1.1086626245216111</c:v>
                </c:pt>
              </c:numCache>
            </c:numRef>
          </c:yVal>
          <c:smooth val="0"/>
        </c:ser>
        <c:ser>
          <c:idx val="8"/>
          <c:order val="8"/>
          <c:tx>
            <c:v>Obs FA 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crit'!$AZ$16:$AZ$20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crit'!$BA$16:$BA$20</c:f>
              <c:numCache>
                <c:ptCount val="5"/>
                <c:pt idx="0">
                  <c:v>-3.506557897319982</c:v>
                </c:pt>
                <c:pt idx="1">
                  <c:v>-2.4079456086518722</c:v>
                </c:pt>
                <c:pt idx="2">
                  <c:v>-2.5257286443082556</c:v>
                </c:pt>
                <c:pt idx="3">
                  <c:v>-2.4079456086518722</c:v>
                </c:pt>
                <c:pt idx="4">
                  <c:v>-1.6094379124341003</c:v>
                </c:pt>
              </c:numCache>
            </c:numRef>
          </c:yVal>
          <c:smooth val="0"/>
        </c:ser>
        <c:ser>
          <c:idx val="9"/>
          <c:order val="9"/>
          <c:tx>
            <c:v>Obs FA 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'expt crit'!$AZ$36:$AZ$40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'expt crit'!$BA$36:$BA$40</c:f>
              <c:numCache>
                <c:ptCount val="5"/>
                <c:pt idx="0">
                  <c:v>-3.912023005428146</c:v>
                </c:pt>
                <c:pt idx="1">
                  <c:v>-2.8134107167600364</c:v>
                </c:pt>
                <c:pt idx="2">
                  <c:v>-2.0402208285265546</c:v>
                </c:pt>
                <c:pt idx="3">
                  <c:v>-1.8971199848858813</c:v>
                </c:pt>
                <c:pt idx="4">
                  <c:v>-1.5606477482646683</c:v>
                </c:pt>
              </c:numCache>
            </c:numRef>
          </c:yVal>
          <c:smooth val="0"/>
        </c:ser>
        <c:axId val="61050989"/>
        <c:axId val="12587990"/>
      </c:scatterChart>
      <c:valAx>
        <c:axId val="61050989"/>
        <c:scaling>
          <c:orientation val="minMax"/>
          <c:max val="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Ln delay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7990"/>
        <c:crossesAt val="-5.5"/>
        <c:crossBetween val="midCat"/>
        <c:dispUnits/>
      </c:valAx>
      <c:valAx>
        <c:axId val="12587990"/>
        <c:scaling>
          <c:orientation val="minMax"/>
          <c:max val="0.5"/>
          <c:min val="-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Ln p(correct recognition)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50989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Gloria!$M$51:$M$55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Gloria!$N$51:$N$55</c:f>
              <c:numCache>
                <c:ptCount val="5"/>
                <c:pt idx="0">
                  <c:v>-0.6700468845767247</c:v>
                </c:pt>
                <c:pt idx="1">
                  <c:v>-0.9960823632915233</c:v>
                </c:pt>
                <c:pt idx="2">
                  <c:v>-1.1482716149709435</c:v>
                </c:pt>
                <c:pt idx="3">
                  <c:v>-1.1477000109430306</c:v>
                </c:pt>
                <c:pt idx="4">
                  <c:v>-0.9463946472541487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Gloria!$M$51:$M$55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Gloria!$O$51:$O$55</c:f>
              <c:numCache>
                <c:ptCount val="5"/>
                <c:pt idx="0">
                  <c:v>-0.8209805520698302</c:v>
                </c:pt>
                <c:pt idx="1">
                  <c:v>-1.171182981502945</c:v>
                </c:pt>
                <c:pt idx="2">
                  <c:v>-1.171182981502945</c:v>
                </c:pt>
                <c:pt idx="3">
                  <c:v>-1.4696759700589417</c:v>
                </c:pt>
                <c:pt idx="4">
                  <c:v>-1.3470736479666092</c:v>
                </c:pt>
              </c:numCache>
            </c:numRef>
          </c:yVal>
          <c:smooth val="0"/>
        </c:ser>
        <c:axId val="46307573"/>
        <c:axId val="14114974"/>
      </c:scatterChart>
      <c:valAx>
        <c:axId val="4630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4974"/>
        <c:crosses val="autoZero"/>
        <c:crossBetween val="midCat"/>
        <c:dispUnits/>
      </c:valAx>
      <c:valAx>
        <c:axId val="14114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7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Gloria!$M$68:$M$72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Gloria!$N$68:$N$72</c:f>
              <c:numCache>
                <c:ptCount val="5"/>
                <c:pt idx="0">
                  <c:v>-0.13672278138619354</c:v>
                </c:pt>
                <c:pt idx="1">
                  <c:v>-0.2925036149251025</c:v>
                </c:pt>
                <c:pt idx="2">
                  <c:v>-0.4665500947192057</c:v>
                </c:pt>
                <c:pt idx="3">
                  <c:v>-0.6413967438943232</c:v>
                </c:pt>
                <c:pt idx="4">
                  <c:v>-0.7242878225820188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Gloria!$M$68:$M$72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Gloria!$O$68:$O$72</c:f>
              <c:numCache>
                <c:ptCount val="5"/>
                <c:pt idx="0">
                  <c:v>-0.21072103131565253</c:v>
                </c:pt>
                <c:pt idx="1">
                  <c:v>-0.342490308946776</c:v>
                </c:pt>
                <c:pt idx="2">
                  <c:v>-0.4462871026284195</c:v>
                </c:pt>
                <c:pt idx="3">
                  <c:v>-0.7133498878774648</c:v>
                </c:pt>
                <c:pt idx="4">
                  <c:v>-0.6539264674066639</c:v>
                </c:pt>
              </c:numCache>
            </c:numRef>
          </c:yVal>
          <c:smooth val="0"/>
        </c:ser>
        <c:axId val="59925903"/>
        <c:axId val="2462216"/>
      </c:scatterChart>
      <c:valAx>
        <c:axId val="5992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216"/>
        <c:crosses val="autoZero"/>
        <c:crossBetween val="midCat"/>
        <c:dispUnits/>
      </c:valAx>
      <c:valAx>
        <c:axId val="246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5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Gloria!$M$85:$M$89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Gloria!$N$85:$N$89</c:f>
              <c:numCache>
                <c:ptCount val="5"/>
                <c:pt idx="0">
                  <c:v>-0.0235940895483949</c:v>
                </c:pt>
                <c:pt idx="1">
                  <c:v>-0.056355975855166766</c:v>
                </c:pt>
                <c:pt idx="2">
                  <c:v>-0.10457872751007571</c:v>
                </c:pt>
                <c:pt idx="3">
                  <c:v>-0.18099822269446783</c:v>
                </c:pt>
                <c:pt idx="4">
                  <c:v>-0.3055428361460622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Gloria!$M$85:$M$89</c:f>
              <c:numCache>
                <c:ptCount val="5"/>
                <c:pt idx="0">
                  <c:v>0.6931471805599453</c:v>
                </c:pt>
                <c:pt idx="1">
                  <c:v>1.6094379124341003</c:v>
                </c:pt>
                <c:pt idx="2">
                  <c:v>2.302585092994046</c:v>
                </c:pt>
                <c:pt idx="3">
                  <c:v>2.995732273553991</c:v>
                </c:pt>
                <c:pt idx="4">
                  <c:v>3.8918202981106265</c:v>
                </c:pt>
              </c:numCache>
            </c:numRef>
          </c:xVal>
          <c:yVal>
            <c:numRef>
              <c:f>Gloria!$O$85:$O$89</c:f>
              <c:numCache>
                <c:ptCount val="5"/>
                <c:pt idx="0">
                  <c:v>-0.020202707317519466</c:v>
                </c:pt>
                <c:pt idx="1">
                  <c:v>-0.06187540371808753</c:v>
                </c:pt>
                <c:pt idx="2">
                  <c:v>-0.07257069283483537</c:v>
                </c:pt>
                <c:pt idx="3">
                  <c:v>-0.18632957819149348</c:v>
                </c:pt>
                <c:pt idx="4">
                  <c:v>-0.35667494393873245</c:v>
                </c:pt>
              </c:numCache>
            </c:numRef>
          </c:yVal>
          <c:smooth val="0"/>
        </c:ser>
        <c:axId val="22159945"/>
        <c:axId val="65221778"/>
      </c:scatterChart>
      <c:valAx>
        <c:axId val="2215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1778"/>
        <c:crosses val="autoZero"/>
        <c:crossBetween val="midCat"/>
        <c:dispUnits/>
      </c:valAx>
      <c:valAx>
        <c:axId val="65221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9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Gloria!$M$18:$M$20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Gloria!$N$18:$N$20</c:f>
              <c:numCache>
                <c:ptCount val="3"/>
                <c:pt idx="0">
                  <c:v>1.1894261895151197</c:v>
                </c:pt>
                <c:pt idx="1">
                  <c:v>10.459981862063266</c:v>
                </c:pt>
                <c:pt idx="2">
                  <c:v>67.3448432438915</c:v>
                </c:pt>
              </c:numCache>
            </c:numRef>
          </c:yVal>
          <c:smooth val="0"/>
        </c:ser>
        <c:axId val="50125091"/>
        <c:axId val="48472636"/>
      </c:scatterChart>
      <c:valAx>
        <c:axId val="50125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2636"/>
        <c:crosses val="autoZero"/>
        <c:crossBetween val="midCat"/>
        <c:dispUnits/>
      </c:valAx>
      <c:valAx>
        <c:axId val="48472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25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Gloria!$O$34:$O$38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Gloria!$N$51:$N$55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Gloria!$M$51:$M$55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Gloria!$O$51:$O$55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3600541"/>
        <c:axId val="33969414"/>
      </c:scatterChart>
      <c:valAx>
        <c:axId val="336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69414"/>
        <c:crosses val="autoZero"/>
        <c:crossBetween val="midCat"/>
        <c:dispUnits/>
      </c:valAx>
      <c:valAx>
        <c:axId val="33969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0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Gloria!$M$68:$M$72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Gloria!$N$68:$N$72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Gloria!$M$68:$M$72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Gloria!$O$68:$O$72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Gloria!$M$85:$M$89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Gloria!$N$85:$N$89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Gloria!$M$85:$M$89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Gloria!$O$85:$O$89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Gloria!$M$51:$M$55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Gloria!$N$51:$N$55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Gloria!$M$51:$M$55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Gloria!$O$51:$O$55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Gloria!$M$34:$M$38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Gloria!$O$34:$O$38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7289271"/>
        <c:axId val="59120"/>
      </c:scatterChart>
      <c:valAx>
        <c:axId val="3728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20"/>
        <c:crosses val="autoZero"/>
        <c:crossBetween val="midCat"/>
        <c:dispUnits/>
      </c:valAx>
      <c:valAx>
        <c:axId val="59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89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Gloria!$Y$27:$Y$82</c:f>
              <c:numCache>
                <c:ptCount val="56"/>
                <c:pt idx="0">
                  <c:v>0.02</c:v>
                </c:pt>
                <c:pt idx="1">
                  <c:v>0.06</c:v>
                </c:pt>
                <c:pt idx="2">
                  <c:v>0.13</c:v>
                </c:pt>
                <c:pt idx="3">
                  <c:v>0.15</c:v>
                </c:pt>
                <c:pt idx="4">
                  <c:v>0.21</c:v>
                </c:pt>
                <c:pt idx="17">
                  <c:v>0.03</c:v>
                </c:pt>
                <c:pt idx="18">
                  <c:v>0.09</c:v>
                </c:pt>
                <c:pt idx="19">
                  <c:v>0.08</c:v>
                </c:pt>
                <c:pt idx="20">
                  <c:v>0.09</c:v>
                </c:pt>
                <c:pt idx="21">
                  <c:v>0.17</c:v>
                </c:pt>
                <c:pt idx="34">
                  <c:v>0.02</c:v>
                </c:pt>
                <c:pt idx="35">
                  <c:v>0.06</c:v>
                </c:pt>
                <c:pt idx="36">
                  <c:v>0.13</c:v>
                </c:pt>
                <c:pt idx="37">
                  <c:v>0.15</c:v>
                </c:pt>
                <c:pt idx="38">
                  <c:v>0.21</c:v>
                </c:pt>
                <c:pt idx="51">
                  <c:v>0.03</c:v>
                </c:pt>
                <c:pt idx="52">
                  <c:v>0.09</c:v>
                </c:pt>
                <c:pt idx="53">
                  <c:v>0.08</c:v>
                </c:pt>
                <c:pt idx="54">
                  <c:v>0.09</c:v>
                </c:pt>
                <c:pt idx="55">
                  <c:v>0.2</c:v>
                </c:pt>
              </c:numCache>
            </c:numRef>
          </c:xVal>
          <c:yVal>
            <c:numRef>
              <c:f>Gloria!$Z$27:$Z$82</c:f>
              <c:numCache>
                <c:ptCount val="56"/>
                <c:pt idx="0">
                  <c:v>0.51</c:v>
                </c:pt>
                <c:pt idx="1">
                  <c:v>0.33</c:v>
                </c:pt>
                <c:pt idx="2">
                  <c:v>0.37</c:v>
                </c:pt>
                <c:pt idx="3">
                  <c:v>0.37</c:v>
                </c:pt>
                <c:pt idx="4">
                  <c:v>0.33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0.23</c:v>
                </c:pt>
                <c:pt idx="21">
                  <c:v>0.26</c:v>
                </c:pt>
                <c:pt idx="34">
                  <c:v>0.81</c:v>
                </c:pt>
                <c:pt idx="35">
                  <c:v>0.71</c:v>
                </c:pt>
                <c:pt idx="36">
                  <c:v>0.64</c:v>
                </c:pt>
                <c:pt idx="37">
                  <c:v>0.49</c:v>
                </c:pt>
                <c:pt idx="38">
                  <c:v>0.52</c:v>
                </c:pt>
                <c:pt idx="51">
                  <c:v>0.98</c:v>
                </c:pt>
                <c:pt idx="52">
                  <c:v>0.94</c:v>
                </c:pt>
                <c:pt idx="53">
                  <c:v>0.93</c:v>
                </c:pt>
                <c:pt idx="54">
                  <c:v>0.83</c:v>
                </c:pt>
                <c:pt idx="55">
                  <c:v>0.7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Gloria!$Y$27:$Y$31</c:f>
              <c:numCache>
                <c:ptCount val="5"/>
                <c:pt idx="0">
                  <c:v>0.02</c:v>
                </c:pt>
                <c:pt idx="1">
                  <c:v>0.06</c:v>
                </c:pt>
                <c:pt idx="2">
                  <c:v>0.13</c:v>
                </c:pt>
                <c:pt idx="3">
                  <c:v>0.15</c:v>
                </c:pt>
                <c:pt idx="4">
                  <c:v>0.21</c:v>
                </c:pt>
              </c:numCache>
            </c:numRef>
          </c:xVal>
          <c:yVal>
            <c:numRef>
              <c:f>Gloria!$Z$27:$Z$31</c:f>
              <c:numCache>
                <c:ptCount val="5"/>
                <c:pt idx="0">
                  <c:v>0.51</c:v>
                </c:pt>
                <c:pt idx="1">
                  <c:v>0.33</c:v>
                </c:pt>
                <c:pt idx="2">
                  <c:v>0.37</c:v>
                </c:pt>
                <c:pt idx="3">
                  <c:v>0.37</c:v>
                </c:pt>
                <c:pt idx="4">
                  <c:v>0.33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Gloria!$Y$44:$Y$48</c:f>
              <c:numCache>
                <c:ptCount val="5"/>
                <c:pt idx="0">
                  <c:v>0.03</c:v>
                </c:pt>
                <c:pt idx="1">
                  <c:v>0.09</c:v>
                </c:pt>
                <c:pt idx="2">
                  <c:v>0.08</c:v>
                </c:pt>
                <c:pt idx="3">
                  <c:v>0.09</c:v>
                </c:pt>
                <c:pt idx="4">
                  <c:v>0.17</c:v>
                </c:pt>
              </c:numCache>
            </c:numRef>
          </c:xVal>
          <c:yVal>
            <c:numRef>
              <c:f>Gloria!$Z$44:$Z$48</c:f>
              <c:numCache>
                <c:ptCount val="5"/>
                <c:pt idx="0">
                  <c:v>0.44</c:v>
                </c:pt>
                <c:pt idx="1">
                  <c:v>0.31</c:v>
                </c:pt>
                <c:pt idx="2">
                  <c:v>0.31</c:v>
                </c:pt>
                <c:pt idx="3">
                  <c:v>0.23</c:v>
                </c:pt>
                <c:pt idx="4">
                  <c:v>0.26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Gloria!$Y$61:$Y$65</c:f>
              <c:numCache>
                <c:ptCount val="5"/>
                <c:pt idx="0">
                  <c:v>0.02</c:v>
                </c:pt>
                <c:pt idx="1">
                  <c:v>0.06</c:v>
                </c:pt>
                <c:pt idx="2">
                  <c:v>0.13</c:v>
                </c:pt>
                <c:pt idx="3">
                  <c:v>0.15</c:v>
                </c:pt>
                <c:pt idx="4">
                  <c:v>0.21</c:v>
                </c:pt>
              </c:numCache>
            </c:numRef>
          </c:xVal>
          <c:yVal>
            <c:numRef>
              <c:f>Gloria!$Z$61:$Z$65</c:f>
              <c:numCache>
                <c:ptCount val="5"/>
                <c:pt idx="0">
                  <c:v>0.81</c:v>
                </c:pt>
                <c:pt idx="1">
                  <c:v>0.71</c:v>
                </c:pt>
                <c:pt idx="2">
                  <c:v>0.64</c:v>
                </c:pt>
                <c:pt idx="3">
                  <c:v>0.49</c:v>
                </c:pt>
                <c:pt idx="4">
                  <c:v>0.52</c:v>
                </c:pt>
              </c:numCache>
            </c:numRef>
          </c:yVal>
          <c:smooth val="0"/>
        </c:ser>
        <c:axId val="532081"/>
        <c:axId val="4788730"/>
      </c:scatterChart>
      <c:valAx>
        <c:axId val="53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730"/>
        <c:crosses val="autoZero"/>
        <c:crossBetween val="midCat"/>
        <c:dispUnits/>
      </c:valAx>
      <c:valAx>
        <c:axId val="4788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Gloria!$AC$31:$AC$34</c:f>
              <c:numCache>
                <c:ptCount val="4"/>
                <c:pt idx="0">
                  <c:v>0.21</c:v>
                </c:pt>
                <c:pt idx="1">
                  <c:v>0.17</c:v>
                </c:pt>
                <c:pt idx="2">
                  <c:v>0.21</c:v>
                </c:pt>
                <c:pt idx="3">
                  <c:v>0.2</c:v>
                </c:pt>
              </c:numCache>
            </c:numRef>
          </c:xVal>
          <c:yVal>
            <c:numRef>
              <c:f>Gloria!$AD$31:$AD$34</c:f>
              <c:numCache>
                <c:ptCount val="4"/>
                <c:pt idx="0">
                  <c:v>0.33</c:v>
                </c:pt>
                <c:pt idx="1">
                  <c:v>0.26</c:v>
                </c:pt>
                <c:pt idx="2">
                  <c:v>0.52</c:v>
                </c:pt>
                <c:pt idx="3">
                  <c:v>0.7</c:v>
                </c:pt>
              </c:numCache>
            </c:numRef>
          </c:yVal>
          <c:smooth val="0"/>
        </c:ser>
        <c:axId val="43098571"/>
        <c:axId val="52342820"/>
      </c:scatterChart>
      <c:valAx>
        <c:axId val="430985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342820"/>
        <c:crosses val="autoZero"/>
        <c:crossBetween val="midCat"/>
        <c:dispUnits/>
      </c:valAx>
      <c:valAx>
        <c:axId val="523428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8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18</xdr:row>
      <xdr:rowOff>95250</xdr:rowOff>
    </xdr:from>
    <xdr:to>
      <xdr:col>22</xdr:col>
      <xdr:colOff>533400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9839325" y="3009900"/>
        <a:ext cx="4162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533400</xdr:colOff>
      <xdr:row>40</xdr:row>
      <xdr:rowOff>0</xdr:rowOff>
    </xdr:from>
    <xdr:to>
      <xdr:col>22</xdr:col>
      <xdr:colOff>428625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734550" y="6477000"/>
        <a:ext cx="4162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514350</xdr:colOff>
      <xdr:row>58</xdr:row>
      <xdr:rowOff>95250</xdr:rowOff>
    </xdr:from>
    <xdr:to>
      <xdr:col>22</xdr:col>
      <xdr:colOff>409575</xdr:colOff>
      <xdr:row>74</xdr:row>
      <xdr:rowOff>57150</xdr:rowOff>
    </xdr:to>
    <xdr:graphicFrame>
      <xdr:nvGraphicFramePr>
        <xdr:cNvPr id="3" name="Chart 4"/>
        <xdr:cNvGraphicFramePr/>
      </xdr:nvGraphicFramePr>
      <xdr:xfrm>
        <a:off x="9715500" y="9486900"/>
        <a:ext cx="41624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552450</xdr:colOff>
      <xdr:row>75</xdr:row>
      <xdr:rowOff>28575</xdr:rowOff>
    </xdr:from>
    <xdr:to>
      <xdr:col>22</xdr:col>
      <xdr:colOff>447675</xdr:colOff>
      <xdr:row>90</xdr:row>
      <xdr:rowOff>152400</xdr:rowOff>
    </xdr:to>
    <xdr:graphicFrame>
      <xdr:nvGraphicFramePr>
        <xdr:cNvPr id="4" name="Chart 5"/>
        <xdr:cNvGraphicFramePr/>
      </xdr:nvGraphicFramePr>
      <xdr:xfrm>
        <a:off x="9753600" y="12172950"/>
        <a:ext cx="41624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94</xdr:col>
      <xdr:colOff>523875</xdr:colOff>
      <xdr:row>17</xdr:row>
      <xdr:rowOff>66675</xdr:rowOff>
    </xdr:from>
    <xdr:to>
      <xdr:col>101</xdr:col>
      <xdr:colOff>419100</xdr:colOff>
      <xdr:row>33</xdr:row>
      <xdr:rowOff>28575</xdr:rowOff>
    </xdr:to>
    <xdr:graphicFrame>
      <xdr:nvGraphicFramePr>
        <xdr:cNvPr id="5" name="Chart 6"/>
        <xdr:cNvGraphicFramePr/>
      </xdr:nvGraphicFramePr>
      <xdr:xfrm>
        <a:off x="57883425" y="2819400"/>
        <a:ext cx="41624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238125</xdr:colOff>
      <xdr:row>26</xdr:row>
      <xdr:rowOff>38100</xdr:rowOff>
    </xdr:from>
    <xdr:to>
      <xdr:col>40</xdr:col>
      <xdr:colOff>133350</xdr:colOff>
      <xdr:row>42</xdr:row>
      <xdr:rowOff>0</xdr:rowOff>
    </xdr:to>
    <xdr:graphicFrame>
      <xdr:nvGraphicFramePr>
        <xdr:cNvPr id="6" name="Chart 7"/>
        <xdr:cNvGraphicFramePr/>
      </xdr:nvGraphicFramePr>
      <xdr:xfrm>
        <a:off x="20412075" y="4248150"/>
        <a:ext cx="41624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28575</xdr:colOff>
      <xdr:row>16</xdr:row>
      <xdr:rowOff>47625</xdr:rowOff>
    </xdr:from>
    <xdr:to>
      <xdr:col>31</xdr:col>
      <xdr:colOff>533400</xdr:colOff>
      <xdr:row>32</xdr:row>
      <xdr:rowOff>9525</xdr:rowOff>
    </xdr:to>
    <xdr:graphicFrame>
      <xdr:nvGraphicFramePr>
        <xdr:cNvPr id="7" name="Chart 8"/>
        <xdr:cNvGraphicFramePr/>
      </xdr:nvGraphicFramePr>
      <xdr:xfrm>
        <a:off x="15325725" y="2638425"/>
        <a:ext cx="41624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304800</xdr:colOff>
      <xdr:row>41</xdr:row>
      <xdr:rowOff>123825</xdr:rowOff>
    </xdr:from>
    <xdr:to>
      <xdr:col>22</xdr:col>
      <xdr:colOff>200025</xdr:colOff>
      <xdr:row>57</xdr:row>
      <xdr:rowOff>85725</xdr:rowOff>
    </xdr:to>
    <xdr:graphicFrame>
      <xdr:nvGraphicFramePr>
        <xdr:cNvPr id="8" name="Chart 14"/>
        <xdr:cNvGraphicFramePr/>
      </xdr:nvGraphicFramePr>
      <xdr:xfrm>
        <a:off x="9505950" y="6762750"/>
        <a:ext cx="41624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228600</xdr:colOff>
      <xdr:row>37</xdr:row>
      <xdr:rowOff>66675</xdr:rowOff>
    </xdr:from>
    <xdr:to>
      <xdr:col>28</xdr:col>
      <xdr:colOff>123825</xdr:colOff>
      <xdr:row>53</xdr:row>
      <xdr:rowOff>28575</xdr:rowOff>
    </xdr:to>
    <xdr:graphicFrame>
      <xdr:nvGraphicFramePr>
        <xdr:cNvPr id="9" name="Chart 15"/>
        <xdr:cNvGraphicFramePr/>
      </xdr:nvGraphicFramePr>
      <xdr:xfrm>
        <a:off x="13087350" y="6057900"/>
        <a:ext cx="416242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304800</xdr:colOff>
      <xdr:row>63</xdr:row>
      <xdr:rowOff>104775</xdr:rowOff>
    </xdr:from>
    <xdr:to>
      <xdr:col>13</xdr:col>
      <xdr:colOff>200025</xdr:colOff>
      <xdr:row>79</xdr:row>
      <xdr:rowOff>66675</xdr:rowOff>
    </xdr:to>
    <xdr:graphicFrame>
      <xdr:nvGraphicFramePr>
        <xdr:cNvPr id="10" name="Chart 17"/>
        <xdr:cNvGraphicFramePr/>
      </xdr:nvGraphicFramePr>
      <xdr:xfrm>
        <a:off x="4019550" y="10306050"/>
        <a:ext cx="416242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28575</xdr:colOff>
      <xdr:row>3</xdr:row>
      <xdr:rowOff>28575</xdr:rowOff>
    </xdr:from>
    <xdr:to>
      <xdr:col>36</xdr:col>
      <xdr:colOff>304800</xdr:colOff>
      <xdr:row>17</xdr:row>
      <xdr:rowOff>152400</xdr:rowOff>
    </xdr:to>
    <xdr:graphicFrame>
      <xdr:nvGraphicFramePr>
        <xdr:cNvPr id="11" name="Chart 19"/>
        <xdr:cNvGraphicFramePr/>
      </xdr:nvGraphicFramePr>
      <xdr:xfrm>
        <a:off x="17764125" y="514350"/>
        <a:ext cx="4543425" cy="2390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209550</xdr:colOff>
      <xdr:row>34</xdr:row>
      <xdr:rowOff>104775</xdr:rowOff>
    </xdr:from>
    <xdr:to>
      <xdr:col>30</xdr:col>
      <xdr:colOff>104775</xdr:colOff>
      <xdr:row>50</xdr:row>
      <xdr:rowOff>66675</xdr:rowOff>
    </xdr:to>
    <xdr:graphicFrame>
      <xdr:nvGraphicFramePr>
        <xdr:cNvPr id="1" name="Chart 5"/>
        <xdr:cNvGraphicFramePr/>
      </xdr:nvGraphicFramePr>
      <xdr:xfrm>
        <a:off x="11334750" y="5610225"/>
        <a:ext cx="4162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1</xdr:row>
      <xdr:rowOff>114300</xdr:rowOff>
    </xdr:from>
    <xdr:to>
      <xdr:col>23</xdr:col>
      <xdr:colOff>9525</xdr:colOff>
      <xdr:row>16</xdr:row>
      <xdr:rowOff>66675</xdr:rowOff>
    </xdr:to>
    <xdr:graphicFrame>
      <xdr:nvGraphicFramePr>
        <xdr:cNvPr id="1" name="Chart 68"/>
        <xdr:cNvGraphicFramePr/>
      </xdr:nvGraphicFramePr>
      <xdr:xfrm>
        <a:off x="12115800" y="276225"/>
        <a:ext cx="2819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123825</xdr:colOff>
      <xdr:row>0</xdr:row>
      <xdr:rowOff>85725</xdr:rowOff>
    </xdr:from>
    <xdr:to>
      <xdr:col>33</xdr:col>
      <xdr:colOff>266700</xdr:colOff>
      <xdr:row>25</xdr:row>
      <xdr:rowOff>19050</xdr:rowOff>
    </xdr:to>
    <xdr:graphicFrame>
      <xdr:nvGraphicFramePr>
        <xdr:cNvPr id="2" name="Chart 78"/>
        <xdr:cNvGraphicFramePr/>
      </xdr:nvGraphicFramePr>
      <xdr:xfrm>
        <a:off x="16268700" y="85725"/>
        <a:ext cx="5238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92"/>
  <sheetViews>
    <sheetView workbookViewId="0" topLeftCell="AC1">
      <selection activeCell="AM4" sqref="AM4"/>
    </sheetView>
  </sheetViews>
  <sheetFormatPr defaultColWidth="9.140625" defaultRowHeight="12.75"/>
  <cols>
    <col min="3" max="3" width="10.00390625" style="0" bestFit="1" customWidth="1"/>
  </cols>
  <sheetData>
    <row r="4" ht="12.75">
      <c r="AM4">
        <v>1</v>
      </c>
    </row>
    <row r="6" spans="3:40" ht="12.75">
      <c r="C6" t="s">
        <v>0</v>
      </c>
      <c r="D6">
        <v>0.855</v>
      </c>
      <c r="F6" t="s">
        <v>3</v>
      </c>
      <c r="G6">
        <f>NORMSINV(h)</f>
        <v>1.0581216176847765</v>
      </c>
      <c r="K6" t="s">
        <v>5</v>
      </c>
      <c r="AL6">
        <v>1</v>
      </c>
      <c r="AM6">
        <f>-2*AL6^(-$AM$4)</f>
        <v>-2</v>
      </c>
      <c r="AN6">
        <v>1</v>
      </c>
    </row>
    <row r="7" spans="3:40" ht="12.75">
      <c r="C7" t="s">
        <v>1</v>
      </c>
      <c r="D7">
        <v>0.094</v>
      </c>
      <c r="F7" t="s">
        <v>2</v>
      </c>
      <c r="G7">
        <f>NORMSINV(1-fa)</f>
        <v>1.3165187184182607</v>
      </c>
      <c r="I7">
        <f>NORMSDIST(G7)</f>
        <v>0.9059999999999999</v>
      </c>
      <c r="K7">
        <f>1-I7</f>
        <v>0.09400000000000008</v>
      </c>
      <c r="AL7">
        <v>2</v>
      </c>
      <c r="AM7">
        <f aca="true" t="shared" si="0" ref="AM7:AM14">-2*AL7^(-$AM$4)</f>
        <v>-1</v>
      </c>
      <c r="AN7">
        <v>0.5</v>
      </c>
    </row>
    <row r="8" spans="6:40" ht="12.75">
      <c r="F8" t="s">
        <v>4</v>
      </c>
      <c r="G8">
        <f>G6+G7</f>
        <v>2.3746403361030373</v>
      </c>
      <c r="K8">
        <f>NORMSDIST(G8-G7)</f>
        <v>0.855</v>
      </c>
      <c r="L8" t="s">
        <v>6</v>
      </c>
      <c r="AL8">
        <v>3</v>
      </c>
      <c r="AM8">
        <f t="shared" si="0"/>
        <v>-0.6666666666666666</v>
      </c>
      <c r="AN8">
        <v>0.3333333333333333</v>
      </c>
    </row>
    <row r="9" spans="38:40" ht="12.75">
      <c r="AL9">
        <v>4</v>
      </c>
      <c r="AM9">
        <f t="shared" si="0"/>
        <v>-0.5</v>
      </c>
      <c r="AN9">
        <v>0.25</v>
      </c>
    </row>
    <row r="10" spans="38:40" ht="12.75">
      <c r="AL10">
        <v>5</v>
      </c>
      <c r="AM10">
        <f t="shared" si="0"/>
        <v>-0.4</v>
      </c>
      <c r="AN10">
        <v>0.2</v>
      </c>
    </row>
    <row r="11" spans="38:40" ht="12.75">
      <c r="AL11">
        <v>6</v>
      </c>
      <c r="AM11">
        <f t="shared" si="0"/>
        <v>-0.3333333333333333</v>
      </c>
      <c r="AN11">
        <v>0.16666666666666666</v>
      </c>
    </row>
    <row r="12" spans="2:40" ht="12.75">
      <c r="B12" t="s">
        <v>7</v>
      </c>
      <c r="AL12">
        <v>7</v>
      </c>
      <c r="AM12">
        <f t="shared" si="0"/>
        <v>-0.2857142857142857</v>
      </c>
      <c r="AN12">
        <v>0.14285714285714285</v>
      </c>
    </row>
    <row r="13" spans="2:40" ht="12.75">
      <c r="B13" t="s">
        <v>8</v>
      </c>
      <c r="N13" t="s">
        <v>34</v>
      </c>
      <c r="O13">
        <v>4.4</v>
      </c>
      <c r="AL13">
        <v>8</v>
      </c>
      <c r="AM13">
        <f t="shared" si="0"/>
        <v>-0.25</v>
      </c>
      <c r="AN13">
        <v>0.125</v>
      </c>
    </row>
    <row r="14" spans="2:40" ht="12.75">
      <c r="B14" t="s">
        <v>13</v>
      </c>
      <c r="H14" t="s">
        <v>29</v>
      </c>
      <c r="I14">
        <f>J33+J50+J67+J84</f>
        <v>0.058533469330832234</v>
      </c>
      <c r="J14">
        <v>0.06455442902542673</v>
      </c>
      <c r="N14" t="s">
        <v>35</v>
      </c>
      <c r="O14">
        <v>-3</v>
      </c>
      <c r="AL14">
        <v>9</v>
      </c>
      <c r="AM14">
        <f t="shared" si="0"/>
        <v>-0.2222222222222222</v>
      </c>
      <c r="AN14">
        <v>0.1111111111111111</v>
      </c>
    </row>
    <row r="15" spans="1:3" ht="12.75">
      <c r="A15">
        <v>0.6301689473633069</v>
      </c>
      <c r="B15" t="s">
        <v>4</v>
      </c>
      <c r="C15">
        <v>0.4510261955776599</v>
      </c>
    </row>
    <row r="16" spans="1:3" ht="12.75">
      <c r="A16">
        <v>0</v>
      </c>
      <c r="B16" t="s">
        <v>14</v>
      </c>
      <c r="C16">
        <v>0</v>
      </c>
    </row>
    <row r="17" spans="1:3" ht="12.75">
      <c r="A17">
        <v>-0.014037155054250587</v>
      </c>
      <c r="B17" t="s">
        <v>19</v>
      </c>
      <c r="C17">
        <v>1.5668716325751821</v>
      </c>
    </row>
    <row r="18" spans="1:15" ht="12.75">
      <c r="A18">
        <v>1.470746160241258</v>
      </c>
      <c r="B18" t="s">
        <v>20</v>
      </c>
      <c r="C18">
        <v>0.016430504789502455</v>
      </c>
      <c r="K18">
        <v>1</v>
      </c>
      <c r="L18">
        <v>0.8407415347123465</v>
      </c>
      <c r="M18">
        <v>1</v>
      </c>
      <c r="N18">
        <f>1/L18</f>
        <v>1.1894261895151197</v>
      </c>
      <c r="O18">
        <f>alpha*M18^2+beta</f>
        <v>1.4000000000000004</v>
      </c>
    </row>
    <row r="19" spans="1:15" ht="12.75">
      <c r="A19">
        <v>0.11475530001117495</v>
      </c>
      <c r="C19">
        <v>0</v>
      </c>
      <c r="K19">
        <v>2</v>
      </c>
      <c r="L19">
        <v>0.09560246023244506</v>
      </c>
      <c r="M19">
        <v>2</v>
      </c>
      <c r="N19">
        <f>1/L19</f>
        <v>10.459981862063266</v>
      </c>
      <c r="O19">
        <f>alpha*M19^2+beta</f>
        <v>14.600000000000001</v>
      </c>
    </row>
    <row r="20" spans="1:15" ht="12.75">
      <c r="A20">
        <f>A19</f>
        <v>0.11475530001117495</v>
      </c>
      <c r="B20" t="s">
        <v>30</v>
      </c>
      <c r="C20">
        <v>0.7474392815140258</v>
      </c>
      <c r="D20">
        <v>0.8407415347123465</v>
      </c>
      <c r="G20" t="s">
        <v>15</v>
      </c>
      <c r="H20" t="s">
        <v>17</v>
      </c>
      <c r="K20">
        <v>4</v>
      </c>
      <c r="L20">
        <v>0.014848946880438463</v>
      </c>
      <c r="M20">
        <v>4</v>
      </c>
      <c r="N20">
        <f>1/L20</f>
        <v>67.3448432438915</v>
      </c>
      <c r="O20">
        <f>alpha*M20^2+beta</f>
        <v>67.4</v>
      </c>
    </row>
    <row r="21" spans="2:4" ht="12.75">
      <c r="B21" t="s">
        <v>31</v>
      </c>
      <c r="C21">
        <v>0.0928271494515716</v>
      </c>
      <c r="D21">
        <v>0.09560246023244506</v>
      </c>
    </row>
    <row r="22" spans="2:4" ht="12.75">
      <c r="B22" t="s">
        <v>32</v>
      </c>
      <c r="C22">
        <v>0.014706198371417813</v>
      </c>
      <c r="D22">
        <v>0.014848946880438463</v>
      </c>
    </row>
    <row r="24" spans="7:8" ht="12.75">
      <c r="G24" t="s">
        <v>15</v>
      </c>
      <c r="H24" t="s">
        <v>17</v>
      </c>
    </row>
    <row r="25" spans="4:8" ht="12.75">
      <c r="D25" t="s">
        <v>12</v>
      </c>
      <c r="F25" t="s">
        <v>16</v>
      </c>
      <c r="G25">
        <f>NORMSDIST(dprime-crit)</f>
        <v>0.6740146654106947</v>
      </c>
      <c r="H25">
        <f>1-NORMSDIST(crit)</f>
        <v>0.5</v>
      </c>
    </row>
    <row r="26" spans="1:26" ht="12.75">
      <c r="A26" t="s">
        <v>25</v>
      </c>
      <c r="C26" t="s">
        <v>9</v>
      </c>
      <c r="D26" t="s">
        <v>10</v>
      </c>
      <c r="E26" t="s">
        <v>11</v>
      </c>
      <c r="F26" t="s">
        <v>14</v>
      </c>
      <c r="G26" t="s">
        <v>22</v>
      </c>
      <c r="H26" t="s">
        <v>21</v>
      </c>
      <c r="I26" t="s">
        <v>24</v>
      </c>
      <c r="K26" t="s">
        <v>23</v>
      </c>
      <c r="L26" t="s">
        <v>18</v>
      </c>
      <c r="Y26" t="s">
        <v>43</v>
      </c>
      <c r="Z26" t="s">
        <v>44</v>
      </c>
    </row>
    <row r="27" spans="1:26" ht="12.75">
      <c r="A27">
        <f>D27</f>
        <v>0.4008211120249047</v>
      </c>
      <c r="B27">
        <f>F27</f>
        <v>1.517020797613263</v>
      </c>
      <c r="C27">
        <v>2</v>
      </c>
      <c r="D27">
        <f>1/(1+x*C27)</f>
        <v>0.4008211120249047</v>
      </c>
      <c r="E27">
        <f>1-D27</f>
        <v>0.5991788879750952</v>
      </c>
      <c r="F27">
        <f>mx/(C27*cc+1)</f>
        <v>1.517020797613263</v>
      </c>
      <c r="G27">
        <f>D27+NORMSDIST(dprime-F27)*E27</f>
        <v>0.48663134268874375</v>
      </c>
      <c r="H27">
        <f>1-NORMSDIST(F27)</f>
        <v>0.06463071659982078</v>
      </c>
      <c r="I27">
        <v>0.02</v>
      </c>
      <c r="J27">
        <f>(H27-I27)^2</f>
        <v>0.001991900864213518</v>
      </c>
      <c r="K27">
        <v>0.51</v>
      </c>
      <c r="L27">
        <f>(G27-K27)^2</f>
        <v>0.0005460941445309305</v>
      </c>
      <c r="M27">
        <f>C27</f>
        <v>2</v>
      </c>
      <c r="N27">
        <f>G27</f>
        <v>0.48663134268874375</v>
      </c>
      <c r="O27">
        <f>K27</f>
        <v>0.51</v>
      </c>
      <c r="Y27">
        <f>I27</f>
        <v>0.02</v>
      </c>
      <c r="Z27">
        <f>K27</f>
        <v>0.51</v>
      </c>
    </row>
    <row r="28" spans="1:26" ht="12.75">
      <c r="A28">
        <f>D28</f>
        <v>0.2110953217818837</v>
      </c>
      <c r="B28">
        <f>F28</f>
        <v>1.4479212476070336</v>
      </c>
      <c r="C28">
        <v>5</v>
      </c>
      <c r="D28">
        <f>1/(1+x*C28)</f>
        <v>0.2110953217818837</v>
      </c>
      <c r="E28">
        <f>1-D28</f>
        <v>0.7889046782181163</v>
      </c>
      <c r="F28">
        <f>mx/(C28*cc+1)</f>
        <v>1.4479212476070336</v>
      </c>
      <c r="G28">
        <f>D28+NORMSDIST(dprime-F28)*E28</f>
        <v>0.3368528232170113</v>
      </c>
      <c r="H28">
        <f>1-NORMSDIST(F28)</f>
        <v>0.07381953828230103</v>
      </c>
      <c r="I28">
        <v>0.06</v>
      </c>
      <c r="J28">
        <f>(H28-I28)^2</f>
        <v>0.00019097963833598387</v>
      </c>
      <c r="K28">
        <v>0.33</v>
      </c>
      <c r="L28">
        <f>(G28-K28)^2</f>
        <v>4.696118604360918E-05</v>
      </c>
      <c r="M28">
        <f>C28</f>
        <v>5</v>
      </c>
      <c r="N28">
        <f>G28</f>
        <v>0.3368528232170113</v>
      </c>
      <c r="O28">
        <f>K28</f>
        <v>0.33</v>
      </c>
      <c r="Y28">
        <f>I28</f>
        <v>0.06</v>
      </c>
      <c r="Z28">
        <f>K28</f>
        <v>0.33</v>
      </c>
    </row>
    <row r="29" spans="1:26" ht="12.75">
      <c r="A29">
        <f>D29</f>
        <v>0.1180025544972863</v>
      </c>
      <c r="B29">
        <f>F29</f>
        <v>1.3457569692822062</v>
      </c>
      <c r="C29">
        <v>10</v>
      </c>
      <c r="D29">
        <f>1/(1+x*C29)</f>
        <v>0.1180025544972863</v>
      </c>
      <c r="E29">
        <f>1-D29</f>
        <v>0.8819974455027138</v>
      </c>
      <c r="F29">
        <f>mx/(C29*cc+1)</f>
        <v>1.3457569692822062</v>
      </c>
      <c r="G29">
        <f>D29+NORMSDIST(dprime-F29)*E29</f>
        <v>0.2815826623083529</v>
      </c>
      <c r="H29">
        <f>1-NORMSDIST(F29)</f>
        <v>0.08919045351368304</v>
      </c>
      <c r="I29">
        <v>0.13</v>
      </c>
      <c r="J29">
        <f>(H29-I29)^2</f>
        <v>0.001665419084418865</v>
      </c>
      <c r="K29">
        <v>0.37</v>
      </c>
      <c r="L29">
        <f>(G29-K29)^2</f>
        <v>0.007817625604478762</v>
      </c>
      <c r="M29">
        <f>C29</f>
        <v>10</v>
      </c>
      <c r="N29">
        <f>G29</f>
        <v>0.2815826623083529</v>
      </c>
      <c r="O29">
        <f>K29</f>
        <v>0.37</v>
      </c>
      <c r="Y29">
        <f>I29</f>
        <v>0.13</v>
      </c>
      <c r="Z29">
        <f>K29</f>
        <v>0.37</v>
      </c>
    </row>
    <row r="30" spans="1:26" ht="12.75">
      <c r="A30">
        <f>D30</f>
        <v>0.06270069854731701</v>
      </c>
      <c r="B30">
        <f>F30</f>
        <v>1.179331421265057</v>
      </c>
      <c r="C30">
        <v>20</v>
      </c>
      <c r="D30">
        <f>1/(1+x*C30)</f>
        <v>0.06270069854731701</v>
      </c>
      <c r="E30">
        <f>1-D30</f>
        <v>0.937299301452683</v>
      </c>
      <c r="F30">
        <f>mx/(C30*cc+1)</f>
        <v>1.179331421265057</v>
      </c>
      <c r="G30">
        <f>D30+NORMSDIST(dprime-F30)*E30</f>
        <v>0.2812914386610086</v>
      </c>
      <c r="H30">
        <f>1-NORMSDIST(F30)</f>
        <v>0.11913311555775119</v>
      </c>
      <c r="I30">
        <v>0.15</v>
      </c>
      <c r="J30">
        <f>(H30-I30)^2</f>
        <v>0.0009527645551711413</v>
      </c>
      <c r="K30">
        <v>0.37</v>
      </c>
      <c r="L30">
        <f>(G30-K30)^2</f>
        <v>0.0078692088548336</v>
      </c>
      <c r="M30">
        <f>C30</f>
        <v>20</v>
      </c>
      <c r="N30">
        <f>G30</f>
        <v>0.2812914386610086</v>
      </c>
      <c r="O30">
        <f>K30</f>
        <v>0.37</v>
      </c>
      <c r="Y30">
        <f>I30</f>
        <v>0.15</v>
      </c>
      <c r="Z30">
        <f>K30</f>
        <v>0.37</v>
      </c>
    </row>
    <row r="31" spans="1:30" ht="12.75">
      <c r="A31">
        <f>D31</f>
        <v>0.026578408776460963</v>
      </c>
      <c r="B31">
        <f>F31</f>
        <v>0.8680273685735792</v>
      </c>
      <c r="C31">
        <v>49</v>
      </c>
      <c r="D31">
        <f>1/(1+x*C31)</f>
        <v>0.026578408776460963</v>
      </c>
      <c r="E31">
        <f>1-D31</f>
        <v>0.973421591223539</v>
      </c>
      <c r="F31">
        <f>mx/(C31*cc+1)</f>
        <v>0.8680273685735792</v>
      </c>
      <c r="G31">
        <f>D31+NORMSDIST(dprime-F31)*E31</f>
        <v>0.355924677380695</v>
      </c>
      <c r="H31">
        <f>1-NORMSDIST(F31)</f>
        <v>0.19268967509189305</v>
      </c>
      <c r="I31">
        <v>0.21</v>
      </c>
      <c r="J31">
        <f>(H31-I31)^2</f>
        <v>0.0002996473484242275</v>
      </c>
      <c r="K31">
        <v>0.33</v>
      </c>
      <c r="L31">
        <f>(G31-K31)^2</f>
        <v>0.0006720888972931181</v>
      </c>
      <c r="M31">
        <f>C31</f>
        <v>49</v>
      </c>
      <c r="N31">
        <f>G31</f>
        <v>0.355924677380695</v>
      </c>
      <c r="O31">
        <f>K31</f>
        <v>0.33</v>
      </c>
      <c r="Y31">
        <f>I31</f>
        <v>0.21</v>
      </c>
      <c r="Z31">
        <f>K31</f>
        <v>0.33</v>
      </c>
      <c r="AC31">
        <f>Y31</f>
        <v>0.21</v>
      </c>
      <c r="AD31">
        <f>O31</f>
        <v>0.33</v>
      </c>
    </row>
    <row r="32" spans="1:30" ht="12.75">
      <c r="A32">
        <v>0.075</v>
      </c>
      <c r="B32">
        <v>0</v>
      </c>
      <c r="J32" s="1">
        <f>SUM(J27:J31)</f>
        <v>0.0051007114905637346</v>
      </c>
      <c r="L32" s="1">
        <f>SUM(L27:L31)</f>
        <v>0.016951978687180024</v>
      </c>
      <c r="AC32">
        <f>Y48</f>
        <v>0.17</v>
      </c>
      <c r="AD32">
        <f>Z48</f>
        <v>0.26</v>
      </c>
    </row>
    <row r="33" spans="10:30" ht="12.75">
      <c r="J33">
        <f>L32+J32</f>
        <v>0.022052690177743757</v>
      </c>
      <c r="AC33">
        <f>Y65</f>
        <v>0.21</v>
      </c>
      <c r="AD33">
        <f>Z65</f>
        <v>0.52</v>
      </c>
    </row>
    <row r="34" spans="13:30" ht="12.75">
      <c r="M34">
        <f aca="true" t="shared" si="1" ref="M34:O36">LN(M27)</f>
        <v>0.6931471805599453</v>
      </c>
      <c r="N34">
        <f t="shared" si="1"/>
        <v>-0.7202484390984555</v>
      </c>
      <c r="O34">
        <f t="shared" si="1"/>
        <v>-0.6733445532637656</v>
      </c>
      <c r="AC34">
        <f>Y82</f>
        <v>0.2</v>
      </c>
      <c r="AD34">
        <f>Z82</f>
        <v>0.7</v>
      </c>
    </row>
    <row r="35" spans="13:15" ht="12.75">
      <c r="M35">
        <f t="shared" si="1"/>
        <v>1.6094379124341003</v>
      </c>
      <c r="N35">
        <f t="shared" si="1"/>
        <v>-1.088109170381523</v>
      </c>
      <c r="O35">
        <f t="shared" si="1"/>
        <v>-1.1086626245216111</v>
      </c>
    </row>
    <row r="36" spans="13:15" ht="12.75">
      <c r="M36">
        <f t="shared" si="1"/>
        <v>2.302585092994046</v>
      </c>
      <c r="N36">
        <f t="shared" si="1"/>
        <v>-1.2673292251009376</v>
      </c>
      <c r="O36">
        <f t="shared" si="1"/>
        <v>-0.9942522733438669</v>
      </c>
    </row>
    <row r="37" spans="3:15" ht="12.75">
      <c r="C37">
        <f aca="true" t="shared" si="2" ref="C37:D41">C27</f>
        <v>2</v>
      </c>
      <c r="D37">
        <f t="shared" si="2"/>
        <v>0.4008211120249047</v>
      </c>
      <c r="E37">
        <f>G27-D27</f>
        <v>0.08581023066383903</v>
      </c>
      <c r="M37">
        <f aca="true" t="shared" si="3" ref="M37:O38">LN(M30)</f>
        <v>2.995732273553991</v>
      </c>
      <c r="N37">
        <f t="shared" si="3"/>
        <v>-1.268363998855241</v>
      </c>
      <c r="O37">
        <f t="shared" si="3"/>
        <v>-0.9942522733438669</v>
      </c>
    </row>
    <row r="38" spans="3:15" ht="12.75">
      <c r="C38">
        <f t="shared" si="2"/>
        <v>5</v>
      </c>
      <c r="D38">
        <f t="shared" si="2"/>
        <v>0.2110953217818837</v>
      </c>
      <c r="E38">
        <f>G28-D28</f>
        <v>0.12575750143512762</v>
      </c>
      <c r="M38">
        <f t="shared" si="3"/>
        <v>3.8918202981106265</v>
      </c>
      <c r="N38">
        <f t="shared" si="3"/>
        <v>-1.0330361509077015</v>
      </c>
      <c r="O38">
        <f t="shared" si="3"/>
        <v>-1.1086626245216111</v>
      </c>
    </row>
    <row r="39" spans="3:18" ht="12.75">
      <c r="C39">
        <f t="shared" si="2"/>
        <v>10</v>
      </c>
      <c r="D39">
        <f t="shared" si="2"/>
        <v>0.1180025544972863</v>
      </c>
      <c r="E39">
        <f>G29-D29</f>
        <v>0.16358010781106658</v>
      </c>
      <c r="R39" t="s">
        <v>33</v>
      </c>
    </row>
    <row r="40" spans="3:5" ht="12.75">
      <c r="C40">
        <f t="shared" si="2"/>
        <v>20</v>
      </c>
      <c r="D40">
        <f t="shared" si="2"/>
        <v>0.06270069854731701</v>
      </c>
      <c r="E40">
        <f>G30-D30</f>
        <v>0.21859074011369156</v>
      </c>
    </row>
    <row r="41" spans="3:8" ht="12.75">
      <c r="C41">
        <f t="shared" si="2"/>
        <v>49</v>
      </c>
      <c r="D41">
        <f t="shared" si="2"/>
        <v>0.026578408776460963</v>
      </c>
      <c r="E41">
        <f>G31-D31</f>
        <v>0.32934626860423405</v>
      </c>
      <c r="G41" t="s">
        <v>15</v>
      </c>
      <c r="H41" t="s">
        <v>17</v>
      </c>
    </row>
    <row r="42" spans="4:8" ht="12.75">
      <c r="D42" t="s">
        <v>12</v>
      </c>
      <c r="F42" t="s">
        <v>16</v>
      </c>
      <c r="G42">
        <f>NORMSDIST(dprime-crit)</f>
        <v>0.6740146654106947</v>
      </c>
      <c r="H42">
        <f>1-NORMSDIST(crit)</f>
        <v>0.5</v>
      </c>
    </row>
    <row r="43" spans="1:12" ht="12.75">
      <c r="A43" t="s">
        <v>26</v>
      </c>
      <c r="C43" t="s">
        <v>9</v>
      </c>
      <c r="D43" t="s">
        <v>10</v>
      </c>
      <c r="E43" t="s">
        <v>11</v>
      </c>
      <c r="F43" t="s">
        <v>14</v>
      </c>
      <c r="G43" t="s">
        <v>22</v>
      </c>
      <c r="H43" t="s">
        <v>21</v>
      </c>
      <c r="I43" t="s">
        <v>24</v>
      </c>
      <c r="K43" t="s">
        <v>23</v>
      </c>
      <c r="L43" t="s">
        <v>18</v>
      </c>
    </row>
    <row r="44" spans="1:26" ht="12.75">
      <c r="A44">
        <f>D44</f>
        <v>0.4008211120249047</v>
      </c>
      <c r="B44">
        <f>F44</f>
        <v>1.517020797613263</v>
      </c>
      <c r="C44">
        <v>2</v>
      </c>
      <c r="D44">
        <f>1/(1+x*C44)</f>
        <v>0.4008211120249047</v>
      </c>
      <c r="E44">
        <f>1-D44</f>
        <v>0.5991788879750952</v>
      </c>
      <c r="F44">
        <f>mx/(C44*cc+1)</f>
        <v>1.517020797613263</v>
      </c>
      <c r="G44">
        <f>D44+NORMSDIST(dprime-F44)*E44</f>
        <v>0.48663134268874375</v>
      </c>
      <c r="H44">
        <f>1-NORMSDIST(F44)</f>
        <v>0.06463071659982078</v>
      </c>
      <c r="I44">
        <v>0.03</v>
      </c>
      <c r="J44">
        <f>(H44-I44)^2</f>
        <v>0.0011992865322171028</v>
      </c>
      <c r="K44">
        <v>0.44</v>
      </c>
      <c r="L44">
        <f>(G44-K44)^2</f>
        <v>0.002174482120955055</v>
      </c>
      <c r="M44">
        <f>C44</f>
        <v>2</v>
      </c>
      <c r="N44">
        <f>G44</f>
        <v>0.48663134268874375</v>
      </c>
      <c r="O44">
        <f>K44</f>
        <v>0.44</v>
      </c>
      <c r="Y44">
        <f>I44</f>
        <v>0.03</v>
      </c>
      <c r="Z44">
        <f>K44</f>
        <v>0.44</v>
      </c>
    </row>
    <row r="45" spans="1:26" ht="12.75">
      <c r="A45">
        <f>D45</f>
        <v>0.2110953217818837</v>
      </c>
      <c r="B45">
        <f>F45</f>
        <v>1.4479212476070336</v>
      </c>
      <c r="C45">
        <v>5</v>
      </c>
      <c r="D45">
        <f>1/(1+x*C45)</f>
        <v>0.2110953217818837</v>
      </c>
      <c r="E45">
        <f>1-D45</f>
        <v>0.7889046782181163</v>
      </c>
      <c r="F45">
        <f>mx/(C45*cc+1)</f>
        <v>1.4479212476070336</v>
      </c>
      <c r="G45">
        <f>D45+NORMSDIST(dprime-F45)*E45</f>
        <v>0.3368528232170113</v>
      </c>
      <c r="H45">
        <f>1-NORMSDIST(F45)</f>
        <v>0.07381953828230103</v>
      </c>
      <c r="I45">
        <v>0.09</v>
      </c>
      <c r="J45">
        <f>(H45-I45)^2</f>
        <v>0.0002618073413979217</v>
      </c>
      <c r="K45">
        <v>0.31</v>
      </c>
      <c r="L45">
        <f>(G45-K45)^2</f>
        <v>0.0007210741147240623</v>
      </c>
      <c r="M45">
        <f>C45</f>
        <v>5</v>
      </c>
      <c r="N45">
        <f>G45</f>
        <v>0.3368528232170113</v>
      </c>
      <c r="O45">
        <f>K45</f>
        <v>0.31</v>
      </c>
      <c r="Y45">
        <f>I45</f>
        <v>0.09</v>
      </c>
      <c r="Z45">
        <f>K45</f>
        <v>0.31</v>
      </c>
    </row>
    <row r="46" spans="1:26" ht="12.75">
      <c r="A46">
        <f>D46</f>
        <v>0.1180025544972863</v>
      </c>
      <c r="B46">
        <f>F46</f>
        <v>1.3457569692822062</v>
      </c>
      <c r="C46">
        <v>10</v>
      </c>
      <c r="D46">
        <f>1/(1+x*C46)</f>
        <v>0.1180025544972863</v>
      </c>
      <c r="E46">
        <f>1-D46</f>
        <v>0.8819974455027138</v>
      </c>
      <c r="F46">
        <f>mx/(C46*cc+1)</f>
        <v>1.3457569692822062</v>
      </c>
      <c r="G46">
        <f>D46+NORMSDIST(dprime-F46)*E46</f>
        <v>0.2815826623083529</v>
      </c>
      <c r="H46">
        <f>1-NORMSDIST(F46)</f>
        <v>0.08919045351368304</v>
      </c>
      <c r="I46">
        <v>0.08</v>
      </c>
      <c r="J46">
        <f>(H46-I46)^2</f>
        <v>8.446443578716897E-05</v>
      </c>
      <c r="K46">
        <v>0.31</v>
      </c>
      <c r="L46">
        <f>(G46-K46)^2</f>
        <v>0.0008075450814811078</v>
      </c>
      <c r="M46">
        <f>C46</f>
        <v>10</v>
      </c>
      <c r="N46">
        <f>G46</f>
        <v>0.2815826623083529</v>
      </c>
      <c r="O46">
        <f>K46</f>
        <v>0.31</v>
      </c>
      <c r="Y46">
        <f>I46</f>
        <v>0.08</v>
      </c>
      <c r="Z46">
        <f>K46</f>
        <v>0.31</v>
      </c>
    </row>
    <row r="47" spans="1:26" ht="12.75">
      <c r="A47">
        <f>D47</f>
        <v>0.06270069854731701</v>
      </c>
      <c r="B47">
        <f>F47</f>
        <v>1.179331421265057</v>
      </c>
      <c r="C47">
        <v>20</v>
      </c>
      <c r="D47">
        <f>1/(1+x*C47)</f>
        <v>0.06270069854731701</v>
      </c>
      <c r="E47">
        <f>1-D47</f>
        <v>0.937299301452683</v>
      </c>
      <c r="F47">
        <f>mx/(C47*cc+1)</f>
        <v>1.179331421265057</v>
      </c>
      <c r="G47">
        <f>D47+NORMSDIST(dprime-F47)*E47</f>
        <v>0.2812914386610086</v>
      </c>
      <c r="H47">
        <f>1-NORMSDIST(F47)</f>
        <v>0.11913311555775119</v>
      </c>
      <c r="I47">
        <v>0.09</v>
      </c>
      <c r="J47">
        <f>(H47-I47)^2</f>
        <v>0.0008487384221012846</v>
      </c>
      <c r="K47">
        <v>0.23</v>
      </c>
      <c r="L47">
        <f>(G47-K47)^2</f>
        <v>0.0026308116799160053</v>
      </c>
      <c r="M47">
        <f>C47</f>
        <v>20</v>
      </c>
      <c r="N47">
        <f>G47</f>
        <v>0.2812914386610086</v>
      </c>
      <c r="O47">
        <f>K47</f>
        <v>0.23</v>
      </c>
      <c r="Y47">
        <f>I47</f>
        <v>0.09</v>
      </c>
      <c r="Z47">
        <f>K47</f>
        <v>0.23</v>
      </c>
    </row>
    <row r="48" spans="1:26" ht="12.75">
      <c r="A48">
        <f>D48</f>
        <v>0.026578408776460963</v>
      </c>
      <c r="B48">
        <f>F48</f>
        <v>0.8680273685735792</v>
      </c>
      <c r="C48">
        <v>49</v>
      </c>
      <c r="D48">
        <f>1/(1+x*C48)</f>
        <v>0.026578408776460963</v>
      </c>
      <c r="E48">
        <f>1-D48</f>
        <v>0.973421591223539</v>
      </c>
      <c r="F48">
        <f>mx/(C48*cc+1)</f>
        <v>0.8680273685735792</v>
      </c>
      <c r="G48">
        <f>D48+NORMSDIST(dprime-F48)*E48</f>
        <v>0.355924677380695</v>
      </c>
      <c r="H48">
        <f>1-NORMSDIST(F48)</f>
        <v>0.19268967509189305</v>
      </c>
      <c r="I48">
        <v>0.17</v>
      </c>
      <c r="J48">
        <f>(H48-I48)^2</f>
        <v>0.0005148213557756715</v>
      </c>
      <c r="K48">
        <v>0.26</v>
      </c>
      <c r="L48">
        <f>(G48-K48)^2</f>
        <v>0.009201543730590418</v>
      </c>
      <c r="M48">
        <f>C48</f>
        <v>49</v>
      </c>
      <c r="N48">
        <f>G48</f>
        <v>0.355924677380695</v>
      </c>
      <c r="O48">
        <f>K48</f>
        <v>0.26</v>
      </c>
      <c r="Y48">
        <f>I48</f>
        <v>0.17</v>
      </c>
      <c r="Z48">
        <f>K48</f>
        <v>0.26</v>
      </c>
    </row>
    <row r="49" spans="1:12" ht="12.75">
      <c r="A49">
        <v>0.075</v>
      </c>
      <c r="B49">
        <v>0</v>
      </c>
      <c r="J49" s="1">
        <f>SUM(J44:J48)</f>
        <v>0.0029091180872791497</v>
      </c>
      <c r="L49" s="1">
        <f>SUM(L44:L48)</f>
        <v>0.015535456727666649</v>
      </c>
    </row>
    <row r="50" ht="12.75">
      <c r="J50">
        <f>L49+J49</f>
        <v>0.018444574814945797</v>
      </c>
    </row>
    <row r="51" spans="13:15" ht="12.75">
      <c r="M51">
        <f aca="true" t="shared" si="4" ref="M51:O55">LN(M44)</f>
        <v>0.6931471805599453</v>
      </c>
      <c r="N51">
        <f t="shared" si="4"/>
        <v>-0.7202484390984555</v>
      </c>
      <c r="O51">
        <f t="shared" si="4"/>
        <v>-0.8209805520698302</v>
      </c>
    </row>
    <row r="52" spans="13:15" ht="12.75">
      <c r="M52">
        <f t="shared" si="4"/>
        <v>1.6094379124341003</v>
      </c>
      <c r="N52">
        <f t="shared" si="4"/>
        <v>-1.088109170381523</v>
      </c>
      <c r="O52">
        <f t="shared" si="4"/>
        <v>-1.171182981502945</v>
      </c>
    </row>
    <row r="53" spans="13:15" ht="12.75">
      <c r="M53">
        <f t="shared" si="4"/>
        <v>2.302585092994046</v>
      </c>
      <c r="N53">
        <f t="shared" si="4"/>
        <v>-1.2673292251009376</v>
      </c>
      <c r="O53">
        <f t="shared" si="4"/>
        <v>-1.171182981502945</v>
      </c>
    </row>
    <row r="54" spans="3:15" ht="12.75">
      <c r="C54">
        <f aca="true" t="shared" si="5" ref="C54:D58">C44</f>
        <v>2</v>
      </c>
      <c r="D54">
        <f t="shared" si="5"/>
        <v>0.4008211120249047</v>
      </c>
      <c r="E54">
        <f>G44-D44</f>
        <v>0.08581023066383903</v>
      </c>
      <c r="M54">
        <f t="shared" si="4"/>
        <v>2.995732273553991</v>
      </c>
      <c r="N54">
        <f t="shared" si="4"/>
        <v>-1.268363998855241</v>
      </c>
      <c r="O54">
        <f t="shared" si="4"/>
        <v>-1.4696759700589417</v>
      </c>
    </row>
    <row r="55" spans="3:15" ht="12.75">
      <c r="C55">
        <f t="shared" si="5"/>
        <v>5</v>
      </c>
      <c r="D55">
        <f t="shared" si="5"/>
        <v>0.2110953217818837</v>
      </c>
      <c r="E55">
        <f>G45-D45</f>
        <v>0.12575750143512762</v>
      </c>
      <c r="M55">
        <f t="shared" si="4"/>
        <v>3.8918202981106265</v>
      </c>
      <c r="N55">
        <f t="shared" si="4"/>
        <v>-1.0330361509077015</v>
      </c>
      <c r="O55">
        <f t="shared" si="4"/>
        <v>-1.3470736479666092</v>
      </c>
    </row>
    <row r="56" spans="3:5" ht="12.75">
      <c r="C56">
        <f t="shared" si="5"/>
        <v>10</v>
      </c>
      <c r="D56">
        <f t="shared" si="5"/>
        <v>0.1180025544972863</v>
      </c>
      <c r="E56">
        <f>G46-D46</f>
        <v>0.16358010781106658</v>
      </c>
    </row>
    <row r="57" spans="3:5" ht="12.75">
      <c r="C57">
        <f t="shared" si="5"/>
        <v>20</v>
      </c>
      <c r="D57">
        <f t="shared" si="5"/>
        <v>0.06270069854731701</v>
      </c>
      <c r="E57">
        <f>G47-D47</f>
        <v>0.21859074011369156</v>
      </c>
    </row>
    <row r="58" spans="3:8" ht="12.75">
      <c r="C58">
        <f t="shared" si="5"/>
        <v>49</v>
      </c>
      <c r="D58">
        <f t="shared" si="5"/>
        <v>0.026578408776460963</v>
      </c>
      <c r="E58">
        <f>G48-D48</f>
        <v>0.32934626860423405</v>
      </c>
      <c r="G58" t="s">
        <v>15</v>
      </c>
      <c r="H58" t="s">
        <v>17</v>
      </c>
    </row>
    <row r="59" spans="4:8" ht="12.75">
      <c r="D59" t="s">
        <v>12</v>
      </c>
      <c r="F59" t="s">
        <v>16</v>
      </c>
      <c r="G59">
        <f>NORMSDIST(dprime-crit)</f>
        <v>0.6740146654106947</v>
      </c>
      <c r="H59">
        <f>1-NORMSDIST(crit)</f>
        <v>0.5</v>
      </c>
    </row>
    <row r="60" spans="1:12" ht="12.75">
      <c r="A60" t="s">
        <v>27</v>
      </c>
      <c r="C60" t="s">
        <v>9</v>
      </c>
      <c r="D60" t="s">
        <v>10</v>
      </c>
      <c r="E60" t="s">
        <v>11</v>
      </c>
      <c r="F60" t="s">
        <v>14</v>
      </c>
      <c r="G60" t="s">
        <v>22</v>
      </c>
      <c r="H60" t="s">
        <v>21</v>
      </c>
      <c r="I60" t="s">
        <v>24</v>
      </c>
      <c r="K60" t="s">
        <v>23</v>
      </c>
      <c r="L60" t="s">
        <v>18</v>
      </c>
    </row>
    <row r="61" spans="1:26" ht="12.75">
      <c r="A61">
        <f>D61</f>
        <v>0.8434161634846741</v>
      </c>
      <c r="B61">
        <f>F61</f>
        <v>1.517020797613263</v>
      </c>
      <c r="C61">
        <v>2</v>
      </c>
      <c r="D61">
        <f>1/(1+xb*C61)</f>
        <v>0.8434161634846741</v>
      </c>
      <c r="E61">
        <f>1-D61</f>
        <v>0.15658383651532592</v>
      </c>
      <c r="F61">
        <f>mx/(C61*cc+1)</f>
        <v>1.517020797613263</v>
      </c>
      <c r="G61">
        <f>D61+NORMSDIST(dprime-F61)*E61</f>
        <v>0.8658410108871204</v>
      </c>
      <c r="H61">
        <f>1-NORMSDIST(F61)</f>
        <v>0.06463071659982078</v>
      </c>
      <c r="I61">
        <v>0.02</v>
      </c>
      <c r="J61">
        <f>(H61-I61)^2</f>
        <v>0.001991900864213518</v>
      </c>
      <c r="K61">
        <v>0.81</v>
      </c>
      <c r="L61">
        <f>(G61-K61)^2</f>
        <v>0.003118218496895493</v>
      </c>
      <c r="M61">
        <f>C61</f>
        <v>2</v>
      </c>
      <c r="N61">
        <f>G61</f>
        <v>0.8658410108871204</v>
      </c>
      <c r="O61">
        <f>K61</f>
        <v>0.81</v>
      </c>
      <c r="Y61">
        <f>I61</f>
        <v>0.02</v>
      </c>
      <c r="Z61">
        <f>K61</f>
        <v>0.81</v>
      </c>
    </row>
    <row r="62" spans="1:26" ht="12.75">
      <c r="A62">
        <f>D62</f>
        <v>0.6829967794126154</v>
      </c>
      <c r="B62">
        <f>F62</f>
        <v>1.4479212476070336</v>
      </c>
      <c r="C62">
        <v>5</v>
      </c>
      <c r="D62">
        <f>1/(1+xb*C62)</f>
        <v>0.6829967794126154</v>
      </c>
      <c r="E62">
        <f>1-D62</f>
        <v>0.3170032205873846</v>
      </c>
      <c r="F62">
        <f>mx/(C62*cc+1)</f>
        <v>1.4479212476070336</v>
      </c>
      <c r="G62">
        <f>D62+NORMSDIST(dprime-F62)*E62</f>
        <v>0.73352954220216</v>
      </c>
      <c r="H62">
        <f>1-NORMSDIST(F62)</f>
        <v>0.07381953828230103</v>
      </c>
      <c r="I62">
        <v>0.06</v>
      </c>
      <c r="J62">
        <f>(H62-I62)^2</f>
        <v>0.00019097963833598387</v>
      </c>
      <c r="K62">
        <v>0.71</v>
      </c>
      <c r="L62">
        <f>(G62-K62)^2</f>
        <v>0.0005536393562432323</v>
      </c>
      <c r="M62">
        <f>C62</f>
        <v>5</v>
      </c>
      <c r="N62">
        <f>G62</f>
        <v>0.73352954220216</v>
      </c>
      <c r="O62">
        <f>K62</f>
        <v>0.71</v>
      </c>
      <c r="Y62">
        <f>I62</f>
        <v>0.06</v>
      </c>
      <c r="Z62">
        <f>K62</f>
        <v>0.71</v>
      </c>
    </row>
    <row r="63" spans="1:26" ht="12.75">
      <c r="A63">
        <f>D63</f>
        <v>0.5185991717681587</v>
      </c>
      <c r="B63">
        <f>F63</f>
        <v>1.3457569692822062</v>
      </c>
      <c r="C63">
        <v>10</v>
      </c>
      <c r="D63">
        <f>1/(1+xb*C63)</f>
        <v>0.5185991717681587</v>
      </c>
      <c r="E63">
        <f>1-D63</f>
        <v>0.48140082823184127</v>
      </c>
      <c r="F63">
        <f>mx/(C63*cc+1)</f>
        <v>1.3457569692822062</v>
      </c>
      <c r="G63">
        <f>D63+NORMSDIST(dprime-F63)*E63</f>
        <v>0.6078824228524262</v>
      </c>
      <c r="H63">
        <f>1-NORMSDIST(F63)</f>
        <v>0.08919045351368304</v>
      </c>
      <c r="I63">
        <v>0.13</v>
      </c>
      <c r="J63">
        <f>(H63-I63)^2</f>
        <v>0.001665419084418865</v>
      </c>
      <c r="K63">
        <v>0.64</v>
      </c>
      <c r="L63">
        <f>(G63-K63)^2</f>
        <v>0.0010315387618303545</v>
      </c>
      <c r="M63">
        <f>C63</f>
        <v>10</v>
      </c>
      <c r="N63">
        <f>G63</f>
        <v>0.6078824228524262</v>
      </c>
      <c r="O63">
        <f>K63</f>
        <v>0.64</v>
      </c>
      <c r="Y63">
        <f>I63</f>
        <v>0.13</v>
      </c>
      <c r="Z63">
        <f>K63</f>
        <v>0.64</v>
      </c>
    </row>
    <row r="64" spans="1:26" ht="12.75">
      <c r="A64">
        <f>D64</f>
        <v>0.35007349927510456</v>
      </c>
      <c r="B64">
        <f>F64</f>
        <v>1.179331421265057</v>
      </c>
      <c r="C64">
        <v>20</v>
      </c>
      <c r="D64">
        <f>1/(1+xb*C64)</f>
        <v>0.35007349927510456</v>
      </c>
      <c r="E64">
        <f>1-D64</f>
        <v>0.6499265007248954</v>
      </c>
      <c r="F64">
        <f>mx/(C64*cc+1)</f>
        <v>1.179331421265057</v>
      </c>
      <c r="G64">
        <f>D64+NORMSDIST(dprime-F64)*E64</f>
        <v>0.5016450566130554</v>
      </c>
      <c r="H64">
        <f>1-NORMSDIST(F64)</f>
        <v>0.11913311555775119</v>
      </c>
      <c r="I64">
        <v>0.15</v>
      </c>
      <c r="J64">
        <f>(H64-I64)^2</f>
        <v>0.0009527645551711413</v>
      </c>
      <c r="K64">
        <v>0.49</v>
      </c>
      <c r="L64">
        <f>(G64-K64)^2</f>
        <v>0.00013560734352126462</v>
      </c>
      <c r="M64">
        <f>C64</f>
        <v>20</v>
      </c>
      <c r="N64">
        <f>G64</f>
        <v>0.5016450566130554</v>
      </c>
      <c r="O64">
        <f>K64</f>
        <v>0.49</v>
      </c>
      <c r="Y64">
        <f>I64</f>
        <v>0.15</v>
      </c>
      <c r="Z64">
        <f>K64</f>
        <v>0.49</v>
      </c>
    </row>
    <row r="65" spans="1:26" ht="12.75">
      <c r="A65">
        <f>D65</f>
        <v>0.18022790572701167</v>
      </c>
      <c r="B65">
        <f>F65</f>
        <v>0.8680273685735792</v>
      </c>
      <c r="C65">
        <v>49</v>
      </c>
      <c r="D65">
        <f>1/(1+xb*C65)</f>
        <v>0.18022790572701167</v>
      </c>
      <c r="E65">
        <f>1-D65</f>
        <v>0.8197720942729884</v>
      </c>
      <c r="F65">
        <f>mx/(C65*cc+1)</f>
        <v>0.8680273685735792</v>
      </c>
      <c r="G65">
        <f>D65+NORMSDIST(dprime-F65)*E65</f>
        <v>0.4575885917739746</v>
      </c>
      <c r="H65">
        <f>1-NORMSDIST(F65)</f>
        <v>0.19268967509189305</v>
      </c>
      <c r="I65">
        <v>0.21</v>
      </c>
      <c r="J65">
        <f>(H65-I65)^2</f>
        <v>0.0002996473484242275</v>
      </c>
      <c r="K65">
        <v>0.52</v>
      </c>
      <c r="L65">
        <f>(G65-K65)^2</f>
        <v>0.003895183876755594</v>
      </c>
      <c r="M65">
        <f>C65</f>
        <v>49</v>
      </c>
      <c r="N65">
        <f>G65</f>
        <v>0.4575885917739746</v>
      </c>
      <c r="O65">
        <f>K65</f>
        <v>0.52</v>
      </c>
      <c r="Y65">
        <f>I65</f>
        <v>0.21</v>
      </c>
      <c r="Z65">
        <f>K65</f>
        <v>0.52</v>
      </c>
    </row>
    <row r="66" spans="1:12" ht="12.75">
      <c r="A66">
        <v>0.075</v>
      </c>
      <c r="B66">
        <v>0</v>
      </c>
      <c r="J66" s="1">
        <f>SUM(J61:J65)</f>
        <v>0.0051007114905637346</v>
      </c>
      <c r="L66" s="1">
        <f>SUM(L61:L65)</f>
        <v>0.008734187835245938</v>
      </c>
    </row>
    <row r="67" ht="12.75">
      <c r="J67">
        <f>L66+J66</f>
        <v>0.013834899325809672</v>
      </c>
    </row>
    <row r="68" spans="13:15" ht="12.75">
      <c r="M68">
        <f aca="true" t="shared" si="6" ref="M68:O72">LN(M61)</f>
        <v>0.6931471805599453</v>
      </c>
      <c r="N68">
        <f t="shared" si="6"/>
        <v>-0.14405397747407556</v>
      </c>
      <c r="O68">
        <f t="shared" si="6"/>
        <v>-0.21072103131565253</v>
      </c>
    </row>
    <row r="69" spans="13:15" ht="12.75">
      <c r="M69">
        <f t="shared" si="6"/>
        <v>1.6094379124341003</v>
      </c>
      <c r="N69">
        <f t="shared" si="6"/>
        <v>-0.309887406542577</v>
      </c>
      <c r="O69">
        <f t="shared" si="6"/>
        <v>-0.342490308946776</v>
      </c>
    </row>
    <row r="70" spans="13:15" ht="12.75">
      <c r="M70">
        <f t="shared" si="6"/>
        <v>2.302585092994046</v>
      </c>
      <c r="N70">
        <f t="shared" si="6"/>
        <v>-0.49777379918336784</v>
      </c>
      <c r="O70">
        <f t="shared" si="6"/>
        <v>-0.4462871026284195</v>
      </c>
    </row>
    <row r="71" spans="3:15" ht="12.75">
      <c r="C71">
        <f aca="true" t="shared" si="7" ref="C71:D75">C61</f>
        <v>2</v>
      </c>
      <c r="D71">
        <f t="shared" si="7"/>
        <v>0.8434161634846741</v>
      </c>
      <c r="E71">
        <f>G61-D61</f>
        <v>0.022424847402446324</v>
      </c>
      <c r="M71">
        <f t="shared" si="6"/>
        <v>2.995732273553991</v>
      </c>
      <c r="N71">
        <f t="shared" si="6"/>
        <v>-0.689862467913917</v>
      </c>
      <c r="O71">
        <f t="shared" si="6"/>
        <v>-0.7133498878774648</v>
      </c>
    </row>
    <row r="72" spans="3:15" ht="12.75">
      <c r="C72">
        <f t="shared" si="7"/>
        <v>5</v>
      </c>
      <c r="D72">
        <f t="shared" si="7"/>
        <v>0.6829967794126154</v>
      </c>
      <c r="E72">
        <f>G62-D62</f>
        <v>0.05053276278954466</v>
      </c>
      <c r="M72">
        <f t="shared" si="6"/>
        <v>3.8918202981106265</v>
      </c>
      <c r="N72">
        <f t="shared" si="6"/>
        <v>-0.7817847697911873</v>
      </c>
      <c r="O72">
        <f t="shared" si="6"/>
        <v>-0.6539264674066639</v>
      </c>
    </row>
    <row r="73" spans="3:5" ht="12.75">
      <c r="C73">
        <f t="shared" si="7"/>
        <v>10</v>
      </c>
      <c r="D73">
        <f t="shared" si="7"/>
        <v>0.5185991717681587</v>
      </c>
      <c r="E73">
        <f>G63-D63</f>
        <v>0.08928325108426749</v>
      </c>
    </row>
    <row r="74" spans="3:5" ht="12.75">
      <c r="C74">
        <f t="shared" si="7"/>
        <v>20</v>
      </c>
      <c r="D74">
        <f t="shared" si="7"/>
        <v>0.35007349927510456</v>
      </c>
      <c r="E74">
        <f>G64-D64</f>
        <v>0.1515715573379508</v>
      </c>
    </row>
    <row r="75" spans="3:8" ht="12.75">
      <c r="C75">
        <f t="shared" si="7"/>
        <v>49</v>
      </c>
      <c r="D75">
        <f t="shared" si="7"/>
        <v>0.18022790572701167</v>
      </c>
      <c r="E75">
        <f>G65-D65</f>
        <v>0.27736068604696296</v>
      </c>
      <c r="G75" t="s">
        <v>15</v>
      </c>
      <c r="H75" t="s">
        <v>17</v>
      </c>
    </row>
    <row r="76" spans="4:8" ht="12.75">
      <c r="D76" t="s">
        <v>12</v>
      </c>
      <c r="F76" t="s">
        <v>16</v>
      </c>
      <c r="G76">
        <f>NORMSDIST(dprime-crit)</f>
        <v>0.6740146654106947</v>
      </c>
      <c r="H76">
        <f>1-NORMSDIST(crit)</f>
        <v>0.5</v>
      </c>
    </row>
    <row r="77" spans="1:12" ht="12.75">
      <c r="A77" t="s">
        <v>28</v>
      </c>
      <c r="C77" t="s">
        <v>9</v>
      </c>
      <c r="D77" t="s">
        <v>10</v>
      </c>
      <c r="E77" t="s">
        <v>11</v>
      </c>
      <c r="F77" t="s">
        <v>14</v>
      </c>
      <c r="G77" t="s">
        <v>22</v>
      </c>
      <c r="H77" t="s">
        <v>21</v>
      </c>
      <c r="I77" t="s">
        <v>24</v>
      </c>
      <c r="K77" t="s">
        <v>23</v>
      </c>
      <c r="L77" t="s">
        <v>18</v>
      </c>
    </row>
    <row r="78" spans="1:26" ht="12.75">
      <c r="A78">
        <f>D78</f>
        <v>0.971427974992433</v>
      </c>
      <c r="B78">
        <f>F78</f>
        <v>1.517020797613263</v>
      </c>
      <c r="C78">
        <v>2</v>
      </c>
      <c r="D78">
        <f>1/(1+xd*C78)</f>
        <v>0.971427974992433</v>
      </c>
      <c r="E78">
        <f>1-D78</f>
        <v>0.028572025007566948</v>
      </c>
      <c r="F78">
        <f>mx/(C78*cc+1)</f>
        <v>1.517020797613263</v>
      </c>
      <c r="G78">
        <f>D78+NORMSDIST(dprime-F78)*E78</f>
        <v>0.9755198615819589</v>
      </c>
      <c r="H78">
        <f>1-NORMSDIST(F78)</f>
        <v>0.06463071659982078</v>
      </c>
      <c r="I78">
        <v>0.03</v>
      </c>
      <c r="J78">
        <f>(H78-I78)^2</f>
        <v>0.0011992865322171028</v>
      </c>
      <c r="K78">
        <v>0.98</v>
      </c>
      <c r="L78">
        <f>(G78-K78)^2</f>
        <v>2.007164024480753E-05</v>
      </c>
      <c r="M78">
        <f>C78</f>
        <v>2</v>
      </c>
      <c r="N78">
        <f>G78</f>
        <v>0.9755198615819589</v>
      </c>
      <c r="O78">
        <f>K78</f>
        <v>0.98</v>
      </c>
      <c r="Y78">
        <f>I78</f>
        <v>0.03</v>
      </c>
      <c r="Z78">
        <f>K78</f>
        <v>0.98</v>
      </c>
    </row>
    <row r="79" spans="1:26" ht="12.75">
      <c r="A79">
        <f>D79</f>
        <v>0.9315054782630089</v>
      </c>
      <c r="B79">
        <f>F79</f>
        <v>1.4479212476070336</v>
      </c>
      <c r="C79">
        <v>5</v>
      </c>
      <c r="D79">
        <f>1/(1+xd*C79)</f>
        <v>0.9315054782630089</v>
      </c>
      <c r="E79">
        <f>1-D79</f>
        <v>0.06849452173699111</v>
      </c>
      <c r="F79">
        <f>mx/(C79*cc+1)</f>
        <v>1.4479212476070336</v>
      </c>
      <c r="G79">
        <f>D79+NORMSDIST(dprime-F79)*E79</f>
        <v>0.9424240342729614</v>
      </c>
      <c r="H79">
        <f>1-NORMSDIST(F79)</f>
        <v>0.07381953828230103</v>
      </c>
      <c r="I79">
        <v>0.09</v>
      </c>
      <c r="J79">
        <f>(H79-I79)^2</f>
        <v>0.0002618073413979217</v>
      </c>
      <c r="K79">
        <v>0.94</v>
      </c>
      <c r="L79">
        <f>(G79-K79)^2</f>
        <v>5.875942156491748E-06</v>
      </c>
      <c r="M79">
        <f>C79</f>
        <v>5</v>
      </c>
      <c r="N79">
        <f>G79</f>
        <v>0.9424240342729614</v>
      </c>
      <c r="O79">
        <f>K79</f>
        <v>0.94</v>
      </c>
      <c r="Y79">
        <f>I79</f>
        <v>0.09</v>
      </c>
      <c r="Z79">
        <f>K79</f>
        <v>0.94</v>
      </c>
    </row>
    <row r="80" spans="1:26" ht="12.75">
      <c r="A80">
        <f>D80</f>
        <v>0.8717924699779583</v>
      </c>
      <c r="B80">
        <f>F80</f>
        <v>1.3457569692822062</v>
      </c>
      <c r="C80">
        <v>10</v>
      </c>
      <c r="D80">
        <f>1/(1+xd*C80)</f>
        <v>0.8717924699779583</v>
      </c>
      <c r="E80">
        <f>1-D80</f>
        <v>0.12820753002204166</v>
      </c>
      <c r="F80">
        <f>mx/(C80*cc+1)</f>
        <v>1.3457569692822062</v>
      </c>
      <c r="G80">
        <f>D80+NORMSDIST(dprime-F80)*E80</f>
        <v>0.8955705451754921</v>
      </c>
      <c r="H80">
        <f>1-NORMSDIST(F80)</f>
        <v>0.08919045351368304</v>
      </c>
      <c r="I80">
        <v>0.08</v>
      </c>
      <c r="J80">
        <f>(H80-I80)^2</f>
        <v>8.446443578716897E-05</v>
      </c>
      <c r="K80">
        <v>0.93</v>
      </c>
      <c r="L80">
        <f>(G80-K80)^2</f>
        <v>0.0011853873595128364</v>
      </c>
      <c r="M80">
        <f>C80</f>
        <v>10</v>
      </c>
      <c r="N80">
        <f>G80</f>
        <v>0.8955705451754921</v>
      </c>
      <c r="O80">
        <f>K80</f>
        <v>0.93</v>
      </c>
      <c r="Y80">
        <f>I80</f>
        <v>0.08</v>
      </c>
      <c r="Z80">
        <f>K80</f>
        <v>0.93</v>
      </c>
    </row>
    <row r="81" spans="1:26" ht="12.75">
      <c r="A81">
        <f>D81</f>
        <v>0.7727234988060453</v>
      </c>
      <c r="B81">
        <f>F81</f>
        <v>1.179331421265057</v>
      </c>
      <c r="C81">
        <v>20</v>
      </c>
      <c r="D81">
        <f>1/(1+xd*C81)</f>
        <v>0.7727234988060453</v>
      </c>
      <c r="E81">
        <f>1-D81</f>
        <v>0.2272765011939547</v>
      </c>
      <c r="F81">
        <f>mx/(C81*cc+1)</f>
        <v>1.179331421265057</v>
      </c>
      <c r="G81">
        <f>D81+NORMSDIST(dprime-F81)*E81</f>
        <v>0.8257274203169639</v>
      </c>
      <c r="H81">
        <f>1-NORMSDIST(F81)</f>
        <v>0.11913311555775119</v>
      </c>
      <c r="I81">
        <v>0.09</v>
      </c>
      <c r="J81">
        <f>(H81-I81)^2</f>
        <v>0.0008487384221012846</v>
      </c>
      <c r="K81">
        <v>0.83</v>
      </c>
      <c r="L81">
        <f>(G81-K81)^2</f>
        <v>1.825493714789261E-05</v>
      </c>
      <c r="M81">
        <f>C81</f>
        <v>20</v>
      </c>
      <c r="N81">
        <f>G81</f>
        <v>0.8257274203169639</v>
      </c>
      <c r="O81">
        <f>K81</f>
        <v>0.83</v>
      </c>
      <c r="Y81">
        <f>I81</f>
        <v>0.09</v>
      </c>
      <c r="Z81">
        <f>K81</f>
        <v>0.83</v>
      </c>
    </row>
    <row r="82" spans="1:26" ht="12.75">
      <c r="A82">
        <f>D82</f>
        <v>0.5811913506057445</v>
      </c>
      <c r="B82">
        <f>F82</f>
        <v>0.8680273685735792</v>
      </c>
      <c r="C82">
        <v>49</v>
      </c>
      <c r="D82">
        <f>1/(1+xd*C82)</f>
        <v>0.5811913506057445</v>
      </c>
      <c r="E82">
        <f>1-D82</f>
        <v>0.41880864939425555</v>
      </c>
      <c r="F82">
        <f>mx/(C82*cc+1)</f>
        <v>0.8680273685735792</v>
      </c>
      <c r="G82">
        <f>D82+NORMSDIST(dprime-F82)*E82</f>
        <v>0.7228905559457477</v>
      </c>
      <c r="H82">
        <f>1-NORMSDIST(F82)</f>
        <v>0.19268967509189305</v>
      </c>
      <c r="I82">
        <v>0.2</v>
      </c>
      <c r="J82">
        <f>(H82-I82)^2</f>
        <v>5.3440850262089E-05</v>
      </c>
      <c r="K82">
        <v>0.7</v>
      </c>
      <c r="L82">
        <f>(G82-K82)^2</f>
        <v>0.0005239775515054071</v>
      </c>
      <c r="M82">
        <f>C82</f>
        <v>49</v>
      </c>
      <c r="N82">
        <f>G82</f>
        <v>0.7228905559457477</v>
      </c>
      <c r="O82">
        <f>K82</f>
        <v>0.7</v>
      </c>
      <c r="Y82">
        <f>I82</f>
        <v>0.2</v>
      </c>
      <c r="Z82">
        <f>K82</f>
        <v>0.7</v>
      </c>
    </row>
    <row r="83" spans="1:12" ht="12.75">
      <c r="A83">
        <v>0.075</v>
      </c>
      <c r="B83">
        <v>0</v>
      </c>
      <c r="J83" s="1">
        <f>SUM(J78:J82)</f>
        <v>0.0024477375817655673</v>
      </c>
      <c r="L83" s="1">
        <f>SUM(L78:L82)</f>
        <v>0.0017535674305674352</v>
      </c>
    </row>
    <row r="84" ht="12.75">
      <c r="J84">
        <f>L83+J83</f>
        <v>0.0042013050123330025</v>
      </c>
    </row>
    <row r="85" spans="13:15" ht="12.75">
      <c r="M85">
        <f aca="true" t="shared" si="8" ref="M85:O89">LN(M78)</f>
        <v>0.6931471805599453</v>
      </c>
      <c r="N85">
        <f t="shared" si="8"/>
        <v>-0.024784758714187283</v>
      </c>
      <c r="O85">
        <f t="shared" si="8"/>
        <v>-0.020202707317519466</v>
      </c>
    </row>
    <row r="86" spans="13:15" ht="12.75">
      <c r="M86">
        <f t="shared" si="8"/>
        <v>1.6094379124341003</v>
      </c>
      <c r="N86">
        <f t="shared" si="8"/>
        <v>-0.05929996314923495</v>
      </c>
      <c r="O86">
        <f t="shared" si="8"/>
        <v>-0.06187540371808753</v>
      </c>
    </row>
    <row r="87" spans="13:15" ht="12.75">
      <c r="M87">
        <f t="shared" si="8"/>
        <v>2.302585092994046</v>
      </c>
      <c r="N87">
        <f t="shared" si="8"/>
        <v>-0.1102942831687467</v>
      </c>
      <c r="O87">
        <f t="shared" si="8"/>
        <v>-0.07257069283483537</v>
      </c>
    </row>
    <row r="88" spans="3:15" ht="12.75">
      <c r="C88">
        <f aca="true" t="shared" si="9" ref="C88:D92">C78</f>
        <v>2</v>
      </c>
      <c r="D88">
        <f t="shared" si="9"/>
        <v>0.971427974992433</v>
      </c>
      <c r="E88">
        <f>G78-D78</f>
        <v>0.004091886589525862</v>
      </c>
      <c r="M88">
        <f t="shared" si="8"/>
        <v>2.995732273553991</v>
      </c>
      <c r="N88">
        <f t="shared" si="8"/>
        <v>-0.19149055953928076</v>
      </c>
      <c r="O88">
        <f t="shared" si="8"/>
        <v>-0.18632957819149348</v>
      </c>
    </row>
    <row r="89" spans="3:15" ht="12.75">
      <c r="C89">
        <f t="shared" si="9"/>
        <v>5</v>
      </c>
      <c r="D89">
        <f t="shared" si="9"/>
        <v>0.9315054782630089</v>
      </c>
      <c r="E89">
        <f>G79-D79</f>
        <v>0.010918556009952507</v>
      </c>
      <c r="M89">
        <f t="shared" si="8"/>
        <v>3.8918202981106265</v>
      </c>
      <c r="N89">
        <f t="shared" si="8"/>
        <v>-0.32449744318385626</v>
      </c>
      <c r="O89">
        <f t="shared" si="8"/>
        <v>-0.35667494393873245</v>
      </c>
    </row>
    <row r="90" spans="3:5" ht="12.75">
      <c r="C90">
        <f t="shared" si="9"/>
        <v>10</v>
      </c>
      <c r="D90">
        <f t="shared" si="9"/>
        <v>0.8717924699779583</v>
      </c>
      <c r="E90">
        <f>G80-D80</f>
        <v>0.02377807519753372</v>
      </c>
    </row>
    <row r="91" spans="3:5" ht="12.75">
      <c r="C91">
        <f t="shared" si="9"/>
        <v>20</v>
      </c>
      <c r="D91">
        <f t="shared" si="9"/>
        <v>0.7727234988060453</v>
      </c>
      <c r="E91">
        <f>G81-D81</f>
        <v>0.053003921510918595</v>
      </c>
    </row>
    <row r="92" spans="3:5" ht="12.75">
      <c r="C92">
        <f t="shared" si="9"/>
        <v>49</v>
      </c>
      <c r="D92">
        <f t="shared" si="9"/>
        <v>0.5811913506057445</v>
      </c>
      <c r="E92">
        <f>G82-D82</f>
        <v>0.14169920534000324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50"/>
  <sheetViews>
    <sheetView workbookViewId="0" topLeftCell="A1">
      <selection activeCell="U29" sqref="A1:U29"/>
    </sheetView>
  </sheetViews>
  <sheetFormatPr defaultColWidth="9.140625" defaultRowHeight="12.75"/>
  <cols>
    <col min="3" max="6" width="3.7109375" style="0" customWidth="1"/>
    <col min="8" max="11" width="3.7109375" style="0" customWidth="1"/>
  </cols>
  <sheetData>
    <row r="3" ht="12.75">
      <c r="B3" t="s">
        <v>36</v>
      </c>
    </row>
    <row r="5" spans="7:16" ht="12.75">
      <c r="G5" t="s">
        <v>38</v>
      </c>
      <c r="L5" t="s">
        <v>39</v>
      </c>
      <c r="O5" t="s">
        <v>40</v>
      </c>
      <c r="P5" t="s">
        <v>41</v>
      </c>
    </row>
    <row r="6" spans="3:12" ht="12.75">
      <c r="C6">
        <v>1</v>
      </c>
      <c r="D6">
        <v>2</v>
      </c>
      <c r="E6">
        <v>3</v>
      </c>
      <c r="F6">
        <v>4</v>
      </c>
      <c r="G6" t="s">
        <v>37</v>
      </c>
      <c r="H6">
        <v>1</v>
      </c>
      <c r="I6">
        <v>2</v>
      </c>
      <c r="J6">
        <v>3</v>
      </c>
      <c r="K6">
        <v>4</v>
      </c>
      <c r="L6" t="s">
        <v>37</v>
      </c>
    </row>
    <row r="7" spans="2:18" ht="12.75">
      <c r="B7" s="1">
        <v>15</v>
      </c>
      <c r="C7">
        <v>92</v>
      </c>
      <c r="D7">
        <v>0</v>
      </c>
      <c r="E7">
        <v>3</v>
      </c>
      <c r="F7">
        <v>0</v>
      </c>
      <c r="G7" s="1">
        <f>SUM(C7:F7)</f>
        <v>95</v>
      </c>
      <c r="H7">
        <v>0</v>
      </c>
      <c r="I7">
        <v>1</v>
      </c>
      <c r="J7">
        <v>4</v>
      </c>
      <c r="K7">
        <v>0</v>
      </c>
      <c r="L7" s="1">
        <f>SUM(H7:K7)</f>
        <v>5</v>
      </c>
      <c r="M7">
        <f>G7+L7</f>
        <v>100</v>
      </c>
      <c r="O7">
        <f>NORMSINV(1-L7/M7)</f>
        <v>1.6448536269514724</v>
      </c>
      <c r="P7">
        <f>NORMSINV(G7/100)+O7</f>
        <v>3.289707253902945</v>
      </c>
      <c r="Q7">
        <f>G7/100</f>
        <v>0.95</v>
      </c>
      <c r="R7">
        <f>L7/100</f>
        <v>0.05</v>
      </c>
    </row>
    <row r="8" spans="2:18" ht="12.75">
      <c r="B8" s="1">
        <v>5</v>
      </c>
      <c r="C8">
        <v>73</v>
      </c>
      <c r="D8">
        <v>6</v>
      </c>
      <c r="E8">
        <v>7</v>
      </c>
      <c r="F8">
        <v>0</v>
      </c>
      <c r="G8" s="1">
        <f aca="true" t="shared" si="0" ref="G8:G19">SUM(C8:F8)</f>
        <v>86</v>
      </c>
      <c r="H8">
        <v>1</v>
      </c>
      <c r="I8">
        <v>1</v>
      </c>
      <c r="J8">
        <v>11</v>
      </c>
      <c r="K8">
        <v>1</v>
      </c>
      <c r="L8" s="1">
        <f aca="true" t="shared" si="1" ref="L8:L19">SUM(H8:K8)</f>
        <v>14</v>
      </c>
      <c r="M8">
        <f aca="true" t="shared" si="2" ref="M8:M19">G8+L8</f>
        <v>100</v>
      </c>
      <c r="O8">
        <f aca="true" t="shared" si="3" ref="O8:O19">NORMSINV(1-L8/M8)</f>
        <v>1.080319340814956</v>
      </c>
      <c r="P8">
        <f aca="true" t="shared" si="4" ref="P8:P19">NORMSINV(G8/100)+O8</f>
        <v>2.160638681629912</v>
      </c>
      <c r="Q8">
        <f aca="true" t="shared" si="5" ref="Q8:Q19">G8/100</f>
        <v>0.86</v>
      </c>
      <c r="R8">
        <f aca="true" t="shared" si="6" ref="R8:R19">L8/100</f>
        <v>0.14</v>
      </c>
    </row>
    <row r="9" spans="2:18" ht="12.75">
      <c r="B9" s="1">
        <v>15</v>
      </c>
      <c r="C9">
        <v>76</v>
      </c>
      <c r="D9">
        <v>5</v>
      </c>
      <c r="E9">
        <v>5</v>
      </c>
      <c r="F9">
        <v>0</v>
      </c>
      <c r="G9" s="1">
        <f t="shared" si="0"/>
        <v>86</v>
      </c>
      <c r="H9">
        <v>1</v>
      </c>
      <c r="I9">
        <v>2</v>
      </c>
      <c r="J9">
        <v>11</v>
      </c>
      <c r="K9">
        <v>0</v>
      </c>
      <c r="L9" s="1">
        <f t="shared" si="1"/>
        <v>14</v>
      </c>
      <c r="M9">
        <f t="shared" si="2"/>
        <v>100</v>
      </c>
      <c r="O9">
        <f t="shared" si="3"/>
        <v>1.080319340814956</v>
      </c>
      <c r="P9">
        <f t="shared" si="4"/>
        <v>2.160638681629912</v>
      </c>
      <c r="Q9">
        <f t="shared" si="5"/>
        <v>0.86</v>
      </c>
      <c r="R9">
        <f t="shared" si="6"/>
        <v>0.14</v>
      </c>
    </row>
    <row r="10" spans="2:18" ht="12.75">
      <c r="B10" s="1">
        <v>30</v>
      </c>
      <c r="C10">
        <v>68</v>
      </c>
      <c r="D10">
        <v>6</v>
      </c>
      <c r="E10">
        <v>8</v>
      </c>
      <c r="F10">
        <v>0</v>
      </c>
      <c r="G10" s="1">
        <f t="shared" si="0"/>
        <v>82</v>
      </c>
      <c r="H10">
        <v>5</v>
      </c>
      <c r="I10">
        <v>3</v>
      </c>
      <c r="J10">
        <v>9</v>
      </c>
      <c r="K10">
        <v>1</v>
      </c>
      <c r="L10" s="1">
        <f t="shared" si="1"/>
        <v>18</v>
      </c>
      <c r="M10">
        <f t="shared" si="2"/>
        <v>100</v>
      </c>
      <c r="O10">
        <f t="shared" si="3"/>
        <v>0.9153650878428139</v>
      </c>
      <c r="P10">
        <f t="shared" si="4"/>
        <v>1.8307301756856276</v>
      </c>
      <c r="Q10">
        <f t="shared" si="5"/>
        <v>0.82</v>
      </c>
      <c r="R10">
        <f t="shared" si="6"/>
        <v>0.18</v>
      </c>
    </row>
    <row r="11" spans="2:18" ht="12.75">
      <c r="B11" s="1">
        <v>1</v>
      </c>
      <c r="C11">
        <v>69</v>
      </c>
      <c r="D11">
        <v>5</v>
      </c>
      <c r="E11">
        <v>9</v>
      </c>
      <c r="F11">
        <v>0</v>
      </c>
      <c r="G11" s="1">
        <f t="shared" si="0"/>
        <v>83</v>
      </c>
      <c r="H11">
        <v>4</v>
      </c>
      <c r="I11">
        <v>4</v>
      </c>
      <c r="J11">
        <v>8</v>
      </c>
      <c r="K11">
        <v>1</v>
      </c>
      <c r="L11" s="1">
        <f t="shared" si="1"/>
        <v>17</v>
      </c>
      <c r="M11">
        <f t="shared" si="2"/>
        <v>100</v>
      </c>
      <c r="O11">
        <f t="shared" si="3"/>
        <v>0.9541652531461946</v>
      </c>
      <c r="P11">
        <f t="shared" si="4"/>
        <v>1.9083305062923892</v>
      </c>
      <c r="Q11">
        <f t="shared" si="5"/>
        <v>0.83</v>
      </c>
      <c r="R11">
        <f t="shared" si="6"/>
        <v>0.17</v>
      </c>
    </row>
    <row r="12" spans="2:18" ht="12.75">
      <c r="B12" s="1">
        <v>2</v>
      </c>
      <c r="C12">
        <v>62</v>
      </c>
      <c r="D12">
        <v>4</v>
      </c>
      <c r="E12">
        <v>8</v>
      </c>
      <c r="F12">
        <v>1</v>
      </c>
      <c r="G12" s="1">
        <f t="shared" si="0"/>
        <v>75</v>
      </c>
      <c r="H12">
        <v>2</v>
      </c>
      <c r="I12">
        <v>3</v>
      </c>
      <c r="J12">
        <v>18</v>
      </c>
      <c r="K12">
        <v>2</v>
      </c>
      <c r="L12" s="1">
        <f t="shared" si="1"/>
        <v>25</v>
      </c>
      <c r="M12">
        <f t="shared" si="2"/>
        <v>100</v>
      </c>
      <c r="O12">
        <f t="shared" si="3"/>
        <v>0.6744897501960816</v>
      </c>
      <c r="P12">
        <f t="shared" si="4"/>
        <v>1.3489795003921632</v>
      </c>
      <c r="Q12">
        <f t="shared" si="5"/>
        <v>0.75</v>
      </c>
      <c r="R12">
        <f t="shared" si="6"/>
        <v>0.25</v>
      </c>
    </row>
    <row r="13" spans="2:18" ht="12.75">
      <c r="B13" s="1">
        <v>4</v>
      </c>
      <c r="C13">
        <v>61</v>
      </c>
      <c r="D13">
        <v>5</v>
      </c>
      <c r="E13">
        <v>15</v>
      </c>
      <c r="F13">
        <v>1</v>
      </c>
      <c r="G13" s="1">
        <f t="shared" si="0"/>
        <v>82</v>
      </c>
      <c r="H13">
        <v>1</v>
      </c>
      <c r="I13">
        <v>1</v>
      </c>
      <c r="J13">
        <v>15</v>
      </c>
      <c r="K13">
        <v>1</v>
      </c>
      <c r="L13" s="1">
        <f t="shared" si="1"/>
        <v>18</v>
      </c>
      <c r="M13">
        <f t="shared" si="2"/>
        <v>100</v>
      </c>
      <c r="O13">
        <f t="shared" si="3"/>
        <v>0.9153650878428139</v>
      </c>
      <c r="P13">
        <f t="shared" si="4"/>
        <v>1.8307301756856276</v>
      </c>
      <c r="Q13">
        <f t="shared" si="5"/>
        <v>0.82</v>
      </c>
      <c r="R13">
        <f t="shared" si="6"/>
        <v>0.18</v>
      </c>
    </row>
    <row r="14" spans="2:18" ht="12.75">
      <c r="B14" s="1">
        <v>8</v>
      </c>
      <c r="C14">
        <v>52</v>
      </c>
      <c r="D14">
        <v>6</v>
      </c>
      <c r="E14">
        <v>18</v>
      </c>
      <c r="F14">
        <v>0</v>
      </c>
      <c r="G14" s="1">
        <f t="shared" si="0"/>
        <v>76</v>
      </c>
      <c r="H14">
        <v>1</v>
      </c>
      <c r="I14">
        <v>3</v>
      </c>
      <c r="J14">
        <v>20</v>
      </c>
      <c r="K14">
        <v>0</v>
      </c>
      <c r="L14" s="1">
        <f t="shared" si="1"/>
        <v>24</v>
      </c>
      <c r="M14">
        <f t="shared" si="2"/>
        <v>100</v>
      </c>
      <c r="O14">
        <f t="shared" si="3"/>
        <v>0.7063025628400872</v>
      </c>
      <c r="P14">
        <f t="shared" si="4"/>
        <v>1.4126051256801744</v>
      </c>
      <c r="Q14">
        <f t="shared" si="5"/>
        <v>0.76</v>
      </c>
      <c r="R14">
        <f t="shared" si="6"/>
        <v>0.24</v>
      </c>
    </row>
    <row r="15" spans="2:18" ht="12.75">
      <c r="B15" s="1">
        <v>12</v>
      </c>
      <c r="C15">
        <v>48</v>
      </c>
      <c r="D15">
        <v>14</v>
      </c>
      <c r="E15">
        <v>17</v>
      </c>
      <c r="F15">
        <v>0</v>
      </c>
      <c r="G15" s="1">
        <f t="shared" si="0"/>
        <v>79</v>
      </c>
      <c r="H15">
        <v>3</v>
      </c>
      <c r="I15">
        <v>5</v>
      </c>
      <c r="J15">
        <v>13</v>
      </c>
      <c r="K15">
        <v>0</v>
      </c>
      <c r="L15" s="1">
        <f t="shared" si="1"/>
        <v>21</v>
      </c>
      <c r="M15">
        <f t="shared" si="2"/>
        <v>100</v>
      </c>
      <c r="O15">
        <f t="shared" si="3"/>
        <v>0.8064212470182399</v>
      </c>
      <c r="P15">
        <f t="shared" si="4"/>
        <v>1.6128424940364798</v>
      </c>
      <c r="Q15">
        <f t="shared" si="5"/>
        <v>0.79</v>
      </c>
      <c r="R15">
        <f t="shared" si="6"/>
        <v>0.21</v>
      </c>
    </row>
    <row r="16" spans="2:18" ht="12.75">
      <c r="B16" s="1">
        <v>1</v>
      </c>
      <c r="C16">
        <v>25</v>
      </c>
      <c r="D16">
        <v>18</v>
      </c>
      <c r="E16">
        <v>23</v>
      </c>
      <c r="F16">
        <v>0</v>
      </c>
      <c r="G16" s="1">
        <f t="shared" si="0"/>
        <v>66</v>
      </c>
      <c r="H16">
        <v>4</v>
      </c>
      <c r="I16">
        <v>3</v>
      </c>
      <c r="J16">
        <v>27</v>
      </c>
      <c r="K16">
        <v>0</v>
      </c>
      <c r="L16" s="1">
        <f t="shared" si="1"/>
        <v>34</v>
      </c>
      <c r="M16">
        <f t="shared" si="2"/>
        <v>100</v>
      </c>
      <c r="O16">
        <f t="shared" si="3"/>
        <v>0.4124631294414044</v>
      </c>
      <c r="P16">
        <f t="shared" si="4"/>
        <v>0.8249262588828092</v>
      </c>
      <c r="Q16">
        <f t="shared" si="5"/>
        <v>0.66</v>
      </c>
      <c r="R16">
        <f t="shared" si="6"/>
        <v>0.34</v>
      </c>
    </row>
    <row r="17" spans="2:18" ht="12.75">
      <c r="B17" s="1">
        <v>2</v>
      </c>
      <c r="C17">
        <v>25</v>
      </c>
      <c r="D17">
        <v>15</v>
      </c>
      <c r="E17">
        <v>25</v>
      </c>
      <c r="F17">
        <v>1</v>
      </c>
      <c r="G17" s="1">
        <f t="shared" si="0"/>
        <v>66</v>
      </c>
      <c r="H17">
        <v>5</v>
      </c>
      <c r="I17">
        <v>9</v>
      </c>
      <c r="J17">
        <v>17</v>
      </c>
      <c r="K17">
        <v>3</v>
      </c>
      <c r="L17" s="1">
        <f t="shared" si="1"/>
        <v>34</v>
      </c>
      <c r="M17">
        <f t="shared" si="2"/>
        <v>100</v>
      </c>
      <c r="O17">
        <f t="shared" si="3"/>
        <v>0.4124631294414044</v>
      </c>
      <c r="P17">
        <f t="shared" si="4"/>
        <v>0.8249262588828092</v>
      </c>
      <c r="Q17">
        <f t="shared" si="5"/>
        <v>0.66</v>
      </c>
      <c r="R17">
        <f t="shared" si="6"/>
        <v>0.34</v>
      </c>
    </row>
    <row r="18" spans="2:18" ht="12.75">
      <c r="B18" s="1">
        <v>4</v>
      </c>
      <c r="C18">
        <v>21</v>
      </c>
      <c r="D18">
        <v>11</v>
      </c>
      <c r="E18">
        <v>34</v>
      </c>
      <c r="F18">
        <v>3</v>
      </c>
      <c r="G18" s="1">
        <f t="shared" si="0"/>
        <v>69</v>
      </c>
      <c r="H18">
        <v>3</v>
      </c>
      <c r="I18">
        <v>5</v>
      </c>
      <c r="J18">
        <v>18</v>
      </c>
      <c r="K18">
        <v>5</v>
      </c>
      <c r="L18" s="1">
        <f t="shared" si="1"/>
        <v>31</v>
      </c>
      <c r="M18">
        <f t="shared" si="2"/>
        <v>100</v>
      </c>
      <c r="O18">
        <f t="shared" si="3"/>
        <v>0.49585034734745326</v>
      </c>
      <c r="P18">
        <f t="shared" si="4"/>
        <v>0.9917006946949065</v>
      </c>
      <c r="Q18">
        <f t="shared" si="5"/>
        <v>0.69</v>
      </c>
      <c r="R18">
        <f t="shared" si="6"/>
        <v>0.31</v>
      </c>
    </row>
    <row r="19" spans="2:18" ht="12.75">
      <c r="B19" s="1">
        <v>7</v>
      </c>
      <c r="C19">
        <v>16</v>
      </c>
      <c r="D19">
        <v>11</v>
      </c>
      <c r="E19">
        <v>30</v>
      </c>
      <c r="F19">
        <v>6</v>
      </c>
      <c r="G19" s="1">
        <f t="shared" si="0"/>
        <v>63</v>
      </c>
      <c r="H19">
        <v>3</v>
      </c>
      <c r="I19">
        <v>6</v>
      </c>
      <c r="J19">
        <v>24</v>
      </c>
      <c r="K19">
        <v>4</v>
      </c>
      <c r="L19" s="1">
        <f t="shared" si="1"/>
        <v>37</v>
      </c>
      <c r="M19">
        <f t="shared" si="2"/>
        <v>100</v>
      </c>
      <c r="O19">
        <f t="shared" si="3"/>
        <v>0.3318533464368165</v>
      </c>
      <c r="P19">
        <f t="shared" si="4"/>
        <v>0.663706692873633</v>
      </c>
      <c r="Q19">
        <f t="shared" si="5"/>
        <v>0.63</v>
      </c>
      <c r="R19">
        <f t="shared" si="6"/>
        <v>0.37</v>
      </c>
    </row>
    <row r="21" spans="3:11" ht="12.75">
      <c r="C21">
        <f>SUM(C7:C19)</f>
        <v>688</v>
      </c>
      <c r="D21">
        <f>SUM(D7:D19)</f>
        <v>106</v>
      </c>
      <c r="E21">
        <f>SUM(E7:E19)</f>
        <v>202</v>
      </c>
      <c r="F21">
        <f>SUM(F7:F19)</f>
        <v>12</v>
      </c>
      <c r="H21">
        <f>SUM(H7:H19)</f>
        <v>33</v>
      </c>
      <c r="I21">
        <f>SUM(I7:I19)</f>
        <v>46</v>
      </c>
      <c r="J21">
        <f>SUM(J7:J19)</f>
        <v>195</v>
      </c>
      <c r="K21">
        <f>SUM(K7:K19)</f>
        <v>18</v>
      </c>
    </row>
    <row r="22" spans="7:19" ht="12.75">
      <c r="G22">
        <v>688</v>
      </c>
      <c r="L22">
        <v>33</v>
      </c>
      <c r="M22">
        <f>G22+L22</f>
        <v>721</v>
      </c>
      <c r="O22">
        <f>NORMSINV(1-L22/M22)</f>
        <v>1.6873320142084887</v>
      </c>
      <c r="P22">
        <f>NORMSINV(G22/M22)+O22</f>
        <v>3.3746640284169773</v>
      </c>
      <c r="Q22">
        <f>G22/M22</f>
        <v>0.9542302357836339</v>
      </c>
      <c r="R22">
        <f>L22/M22</f>
        <v>0.04576976421636616</v>
      </c>
      <c r="S22">
        <f>Q22</f>
        <v>0.9542302357836339</v>
      </c>
    </row>
    <row r="23" spans="7:19" ht="12.75">
      <c r="G23">
        <v>106</v>
      </c>
      <c r="L23">
        <v>46</v>
      </c>
      <c r="M23">
        <f>G23+L23</f>
        <v>152</v>
      </c>
      <c r="O23">
        <f>NORMSINV(1-L23/M23)</f>
        <v>0.5168467276526096</v>
      </c>
      <c r="P23">
        <f>NORMSINV(G23/M23)+O23</f>
        <v>1.033693455305219</v>
      </c>
      <c r="Q23">
        <f>G23/M23</f>
        <v>0.6973684210526315</v>
      </c>
      <c r="R23">
        <f>L23/M23</f>
        <v>0.3026315789473684</v>
      </c>
      <c r="S23">
        <f>Q23</f>
        <v>0.6973684210526315</v>
      </c>
    </row>
    <row r="24" spans="7:19" ht="12.75">
      <c r="G24">
        <v>202</v>
      </c>
      <c r="L24">
        <v>195</v>
      </c>
      <c r="M24">
        <f>G24+L24</f>
        <v>397</v>
      </c>
      <c r="O24">
        <f>NORMSINV(1-L24/M24)</f>
        <v>0.022100536913702062</v>
      </c>
      <c r="P24">
        <f>NORMSINV(G24/M24)+O24</f>
        <v>0.04420107382740441</v>
      </c>
      <c r="Q24">
        <f>G24/M24</f>
        <v>0.5088161209068011</v>
      </c>
      <c r="R24">
        <f>L24/M24</f>
        <v>0.491183879093199</v>
      </c>
      <c r="S24">
        <f>Q24</f>
        <v>0.5088161209068011</v>
      </c>
    </row>
    <row r="25" spans="7:19" ht="12.75">
      <c r="G25">
        <v>12</v>
      </c>
      <c r="L25">
        <v>18</v>
      </c>
      <c r="M25">
        <f>G25+L25</f>
        <v>30</v>
      </c>
      <c r="O25">
        <f>NORMSINV(1-L25/M25)</f>
        <v>-0.2533471031357999</v>
      </c>
      <c r="P25">
        <f>NORMSINV(G25/M25)+O25</f>
        <v>-0.5066942062715998</v>
      </c>
      <c r="Q25">
        <f>G25/M25</f>
        <v>0.4</v>
      </c>
      <c r="R25">
        <f>L25/M25</f>
        <v>0.6</v>
      </c>
      <c r="S25">
        <f>Q25</f>
        <v>0.4</v>
      </c>
    </row>
    <row r="28" ht="12.75">
      <c r="B28" t="s">
        <v>42</v>
      </c>
    </row>
    <row r="30" spans="7:16" ht="12.75">
      <c r="G30" t="s">
        <v>38</v>
      </c>
      <c r="L30" t="s">
        <v>39</v>
      </c>
      <c r="O30" t="s">
        <v>40</v>
      </c>
      <c r="P30" t="s">
        <v>41</v>
      </c>
    </row>
    <row r="31" spans="3:12" ht="12.75">
      <c r="C31">
        <v>1</v>
      </c>
      <c r="D31">
        <v>2</v>
      </c>
      <c r="E31">
        <v>3</v>
      </c>
      <c r="F31">
        <v>4</v>
      </c>
      <c r="G31" t="s">
        <v>37</v>
      </c>
      <c r="H31">
        <v>1</v>
      </c>
      <c r="I31">
        <v>2</v>
      </c>
      <c r="J31">
        <v>3</v>
      </c>
      <c r="K31">
        <v>4</v>
      </c>
      <c r="L31" t="s">
        <v>37</v>
      </c>
    </row>
    <row r="32" spans="2:18" ht="12.75">
      <c r="B32" s="1">
        <v>15</v>
      </c>
      <c r="C32">
        <v>71</v>
      </c>
      <c r="D32">
        <v>12</v>
      </c>
      <c r="E32">
        <v>6</v>
      </c>
      <c r="F32">
        <v>0</v>
      </c>
      <c r="G32" s="1">
        <f>SUM(C32:F32)</f>
        <v>89</v>
      </c>
      <c r="H32">
        <v>0</v>
      </c>
      <c r="I32">
        <v>3</v>
      </c>
      <c r="J32">
        <v>8</v>
      </c>
      <c r="K32">
        <v>0</v>
      </c>
      <c r="L32" s="1">
        <f>SUM(H32:K32)</f>
        <v>11</v>
      </c>
      <c r="M32">
        <f>G32+L32</f>
        <v>100</v>
      </c>
      <c r="O32">
        <f>NORMSINV(1-L32/M32)</f>
        <v>1.22652812003661</v>
      </c>
      <c r="P32">
        <f>NORMSINV(G32/100)+O32</f>
        <v>2.45305624007322</v>
      </c>
      <c r="Q32">
        <f>G32/100</f>
        <v>0.89</v>
      </c>
      <c r="R32">
        <f>L32/100</f>
        <v>0.11</v>
      </c>
    </row>
    <row r="33" spans="2:18" ht="12.75">
      <c r="B33" s="1">
        <v>5</v>
      </c>
      <c r="C33">
        <v>68</v>
      </c>
      <c r="D33">
        <v>9</v>
      </c>
      <c r="E33">
        <v>7</v>
      </c>
      <c r="F33">
        <v>1</v>
      </c>
      <c r="G33" s="1">
        <f aca="true" t="shared" si="7" ref="G33:G44">SUM(C33:F33)</f>
        <v>85</v>
      </c>
      <c r="H33">
        <v>4</v>
      </c>
      <c r="I33">
        <v>1</v>
      </c>
      <c r="J33">
        <v>9</v>
      </c>
      <c r="K33">
        <v>1</v>
      </c>
      <c r="L33" s="1">
        <f aca="true" t="shared" si="8" ref="L33:L44">SUM(H33:K33)</f>
        <v>15</v>
      </c>
      <c r="M33">
        <f aca="true" t="shared" si="9" ref="M33:M44">G33+L33</f>
        <v>100</v>
      </c>
      <c r="O33">
        <f aca="true" t="shared" si="10" ref="O33:O44">NORMSINV(1-L33/M33)</f>
        <v>1.0364333894937898</v>
      </c>
      <c r="P33">
        <f aca="true" t="shared" si="11" ref="P33:P44">NORMSINV(G33/100)+O33</f>
        <v>2.0728667789875797</v>
      </c>
      <c r="Q33">
        <f aca="true" t="shared" si="12" ref="Q33:Q44">G33/100</f>
        <v>0.85</v>
      </c>
      <c r="R33">
        <f aca="true" t="shared" si="13" ref="R33:R44">L33/100</f>
        <v>0.15</v>
      </c>
    </row>
    <row r="34" spans="2:18" ht="12.75">
      <c r="B34" s="1">
        <v>15</v>
      </c>
      <c r="C34">
        <v>61</v>
      </c>
      <c r="D34">
        <v>9</v>
      </c>
      <c r="E34">
        <v>8</v>
      </c>
      <c r="F34">
        <v>2</v>
      </c>
      <c r="G34" s="1">
        <f t="shared" si="7"/>
        <v>80</v>
      </c>
      <c r="H34">
        <v>1</v>
      </c>
      <c r="I34">
        <v>1</v>
      </c>
      <c r="J34">
        <v>17</v>
      </c>
      <c r="K34">
        <v>1</v>
      </c>
      <c r="L34" s="1">
        <f t="shared" si="8"/>
        <v>20</v>
      </c>
      <c r="M34">
        <f t="shared" si="9"/>
        <v>100</v>
      </c>
      <c r="O34">
        <f t="shared" si="10"/>
        <v>0.8416212335729143</v>
      </c>
      <c r="P34">
        <f t="shared" si="11"/>
        <v>1.6832424671458286</v>
      </c>
      <c r="Q34">
        <f t="shared" si="12"/>
        <v>0.8</v>
      </c>
      <c r="R34">
        <f t="shared" si="13"/>
        <v>0.2</v>
      </c>
    </row>
    <row r="35" spans="2:18" ht="12.75">
      <c r="B35" s="1">
        <v>30</v>
      </c>
      <c r="C35">
        <v>53</v>
      </c>
      <c r="D35">
        <v>6</v>
      </c>
      <c r="E35">
        <v>17</v>
      </c>
      <c r="F35">
        <v>5</v>
      </c>
      <c r="G35" s="1">
        <f t="shared" si="7"/>
        <v>81</v>
      </c>
      <c r="H35">
        <v>0</v>
      </c>
      <c r="I35">
        <v>2</v>
      </c>
      <c r="J35">
        <v>13</v>
      </c>
      <c r="K35">
        <v>4</v>
      </c>
      <c r="L35" s="1">
        <f t="shared" si="8"/>
        <v>19</v>
      </c>
      <c r="M35">
        <f t="shared" si="9"/>
        <v>100</v>
      </c>
      <c r="O35">
        <f t="shared" si="10"/>
        <v>0.8778962950512283</v>
      </c>
      <c r="P35">
        <f t="shared" si="11"/>
        <v>1.7557925901024567</v>
      </c>
      <c r="Q35">
        <f t="shared" si="12"/>
        <v>0.81</v>
      </c>
      <c r="R35">
        <f t="shared" si="13"/>
        <v>0.19</v>
      </c>
    </row>
    <row r="36" spans="2:18" ht="12.75">
      <c r="B36" s="1">
        <v>1</v>
      </c>
      <c r="C36">
        <v>48</v>
      </c>
      <c r="D36">
        <v>11</v>
      </c>
      <c r="E36">
        <v>15</v>
      </c>
      <c r="F36">
        <v>3</v>
      </c>
      <c r="G36" s="1">
        <f t="shared" si="7"/>
        <v>77</v>
      </c>
      <c r="H36">
        <v>1</v>
      </c>
      <c r="I36">
        <v>0</v>
      </c>
      <c r="J36">
        <v>16</v>
      </c>
      <c r="K36">
        <v>6</v>
      </c>
      <c r="L36" s="1">
        <f t="shared" si="8"/>
        <v>23</v>
      </c>
      <c r="M36">
        <f t="shared" si="9"/>
        <v>100</v>
      </c>
      <c r="O36">
        <f t="shared" si="10"/>
        <v>0.7388468491852138</v>
      </c>
      <c r="P36">
        <f t="shared" si="11"/>
        <v>1.4776936983704276</v>
      </c>
      <c r="Q36">
        <f t="shared" si="12"/>
        <v>0.77</v>
      </c>
      <c r="R36">
        <f t="shared" si="13"/>
        <v>0.23</v>
      </c>
    </row>
    <row r="37" spans="2:18" ht="12.75">
      <c r="B37" s="1">
        <v>2</v>
      </c>
      <c r="C37">
        <v>43</v>
      </c>
      <c r="D37">
        <v>12</v>
      </c>
      <c r="E37">
        <v>19</v>
      </c>
      <c r="F37">
        <v>3</v>
      </c>
      <c r="G37" s="1">
        <f t="shared" si="7"/>
        <v>77</v>
      </c>
      <c r="H37">
        <v>5</v>
      </c>
      <c r="I37">
        <v>5</v>
      </c>
      <c r="J37">
        <v>19</v>
      </c>
      <c r="K37">
        <v>4</v>
      </c>
      <c r="L37" s="1">
        <f t="shared" si="8"/>
        <v>33</v>
      </c>
      <c r="M37">
        <f t="shared" si="9"/>
        <v>110</v>
      </c>
      <c r="O37">
        <f t="shared" si="10"/>
        <v>0.5244005127080404</v>
      </c>
      <c r="P37">
        <f>NORMSINV(G37/110)+O37</f>
        <v>1.048801025416081</v>
      </c>
      <c r="Q37">
        <f>G37/110</f>
        <v>0.7</v>
      </c>
      <c r="R37">
        <f>L37/110</f>
        <v>0.3</v>
      </c>
    </row>
    <row r="38" spans="2:18" ht="12.75">
      <c r="B38" s="1">
        <v>4</v>
      </c>
      <c r="C38">
        <v>34</v>
      </c>
      <c r="D38">
        <v>19</v>
      </c>
      <c r="E38">
        <v>20</v>
      </c>
      <c r="F38">
        <v>0</v>
      </c>
      <c r="G38" s="1">
        <f t="shared" si="7"/>
        <v>73</v>
      </c>
      <c r="H38">
        <v>0</v>
      </c>
      <c r="I38">
        <v>9</v>
      </c>
      <c r="J38">
        <v>18</v>
      </c>
      <c r="K38">
        <v>0</v>
      </c>
      <c r="L38" s="1">
        <f t="shared" si="8"/>
        <v>27</v>
      </c>
      <c r="M38">
        <f t="shared" si="9"/>
        <v>100</v>
      </c>
      <c r="O38">
        <f t="shared" si="10"/>
        <v>0.6128129910166271</v>
      </c>
      <c r="P38">
        <f t="shared" si="11"/>
        <v>1.2256259820332542</v>
      </c>
      <c r="Q38">
        <f t="shared" si="12"/>
        <v>0.73</v>
      </c>
      <c r="R38">
        <f t="shared" si="13"/>
        <v>0.27</v>
      </c>
    </row>
    <row r="39" spans="2:18" ht="12.75">
      <c r="B39" s="1">
        <v>8</v>
      </c>
      <c r="C39">
        <v>34</v>
      </c>
      <c r="D39">
        <v>11</v>
      </c>
      <c r="E39">
        <v>19</v>
      </c>
      <c r="F39">
        <v>5</v>
      </c>
      <c r="G39" s="1">
        <f t="shared" si="7"/>
        <v>69</v>
      </c>
      <c r="H39">
        <v>3</v>
      </c>
      <c r="I39">
        <v>6</v>
      </c>
      <c r="J39">
        <v>17</v>
      </c>
      <c r="K39">
        <v>5</v>
      </c>
      <c r="L39" s="1">
        <f t="shared" si="8"/>
        <v>31</v>
      </c>
      <c r="M39">
        <f t="shared" si="9"/>
        <v>100</v>
      </c>
      <c r="O39">
        <f t="shared" si="10"/>
        <v>0.49585034734745326</v>
      </c>
      <c r="P39">
        <f t="shared" si="11"/>
        <v>0.9917006946949065</v>
      </c>
      <c r="Q39">
        <f t="shared" si="12"/>
        <v>0.69</v>
      </c>
      <c r="R39">
        <f t="shared" si="13"/>
        <v>0.31</v>
      </c>
    </row>
    <row r="40" spans="2:18" ht="12.75">
      <c r="B40" s="1">
        <v>12</v>
      </c>
      <c r="C40">
        <v>24</v>
      </c>
      <c r="D40">
        <v>17</v>
      </c>
      <c r="E40">
        <v>17</v>
      </c>
      <c r="F40">
        <v>6</v>
      </c>
      <c r="G40" s="1">
        <f t="shared" si="7"/>
        <v>64</v>
      </c>
      <c r="H40">
        <v>2</v>
      </c>
      <c r="I40">
        <v>4</v>
      </c>
      <c r="J40">
        <v>24</v>
      </c>
      <c r="K40">
        <v>6</v>
      </c>
      <c r="L40" s="1">
        <f t="shared" si="8"/>
        <v>36</v>
      </c>
      <c r="M40">
        <f t="shared" si="9"/>
        <v>100</v>
      </c>
      <c r="O40">
        <f t="shared" si="10"/>
        <v>0.3584587932511938</v>
      </c>
      <c r="P40">
        <f t="shared" si="11"/>
        <v>0.7169175865023876</v>
      </c>
      <c r="Q40">
        <f t="shared" si="12"/>
        <v>0.64</v>
      </c>
      <c r="R40">
        <f t="shared" si="13"/>
        <v>0.36</v>
      </c>
    </row>
    <row r="41" spans="2:18" ht="12.75">
      <c r="B41" s="1">
        <v>1</v>
      </c>
      <c r="C41">
        <v>25</v>
      </c>
      <c r="D41">
        <v>11</v>
      </c>
      <c r="E41">
        <v>18</v>
      </c>
      <c r="F41">
        <v>6</v>
      </c>
      <c r="G41" s="1">
        <f t="shared" si="7"/>
        <v>60</v>
      </c>
      <c r="H41">
        <v>4</v>
      </c>
      <c r="I41">
        <v>7</v>
      </c>
      <c r="J41">
        <v>27</v>
      </c>
      <c r="K41">
        <v>2</v>
      </c>
      <c r="L41" s="1">
        <f t="shared" si="8"/>
        <v>40</v>
      </c>
      <c r="M41">
        <f t="shared" si="9"/>
        <v>100</v>
      </c>
      <c r="O41">
        <f t="shared" si="10"/>
        <v>0.25334710313579967</v>
      </c>
      <c r="P41">
        <f t="shared" si="11"/>
        <v>0.5066942062715993</v>
      </c>
      <c r="Q41">
        <f t="shared" si="12"/>
        <v>0.6</v>
      </c>
      <c r="R41">
        <f t="shared" si="13"/>
        <v>0.4</v>
      </c>
    </row>
    <row r="42" spans="2:18" ht="12.75">
      <c r="B42" s="1">
        <v>2</v>
      </c>
      <c r="C42">
        <v>19</v>
      </c>
      <c r="D42">
        <v>13</v>
      </c>
      <c r="E42">
        <v>24</v>
      </c>
      <c r="F42">
        <v>8</v>
      </c>
      <c r="G42" s="1">
        <f t="shared" si="7"/>
        <v>64</v>
      </c>
      <c r="H42">
        <v>3</v>
      </c>
      <c r="I42">
        <v>6</v>
      </c>
      <c r="J42">
        <v>18</v>
      </c>
      <c r="K42">
        <v>9</v>
      </c>
      <c r="L42" s="1">
        <f t="shared" si="8"/>
        <v>36</v>
      </c>
      <c r="M42">
        <f t="shared" si="9"/>
        <v>100</v>
      </c>
      <c r="O42">
        <f t="shared" si="10"/>
        <v>0.3584587932511938</v>
      </c>
      <c r="P42">
        <f t="shared" si="11"/>
        <v>0.7169175865023876</v>
      </c>
      <c r="Q42">
        <f t="shared" si="12"/>
        <v>0.64</v>
      </c>
      <c r="R42">
        <f t="shared" si="13"/>
        <v>0.36</v>
      </c>
    </row>
    <row r="43" spans="2:18" ht="12.75">
      <c r="B43" s="1">
        <v>4</v>
      </c>
      <c r="C43">
        <v>14</v>
      </c>
      <c r="D43">
        <v>10</v>
      </c>
      <c r="E43">
        <v>36</v>
      </c>
      <c r="F43">
        <v>1</v>
      </c>
      <c r="G43" s="1">
        <f t="shared" si="7"/>
        <v>61</v>
      </c>
      <c r="H43">
        <v>2</v>
      </c>
      <c r="I43">
        <v>6</v>
      </c>
      <c r="J43">
        <v>26</v>
      </c>
      <c r="K43">
        <v>5</v>
      </c>
      <c r="L43" s="1">
        <f t="shared" si="8"/>
        <v>39</v>
      </c>
      <c r="M43">
        <f t="shared" si="9"/>
        <v>100</v>
      </c>
      <c r="O43">
        <f t="shared" si="10"/>
        <v>0.279319034447454</v>
      </c>
      <c r="P43">
        <f t="shared" si="11"/>
        <v>0.558638068894908</v>
      </c>
      <c r="Q43">
        <f t="shared" si="12"/>
        <v>0.61</v>
      </c>
      <c r="R43">
        <f t="shared" si="13"/>
        <v>0.39</v>
      </c>
    </row>
    <row r="44" spans="2:18" ht="12.75">
      <c r="B44" s="1">
        <v>7</v>
      </c>
      <c r="C44">
        <v>9</v>
      </c>
      <c r="D44">
        <v>10</v>
      </c>
      <c r="E44">
        <v>26</v>
      </c>
      <c r="F44">
        <v>8</v>
      </c>
      <c r="G44" s="1">
        <f t="shared" si="7"/>
        <v>53</v>
      </c>
      <c r="H44">
        <v>2</v>
      </c>
      <c r="I44">
        <v>11</v>
      </c>
      <c r="J44">
        <v>30</v>
      </c>
      <c r="K44">
        <v>4</v>
      </c>
      <c r="L44" s="1">
        <f t="shared" si="8"/>
        <v>47</v>
      </c>
      <c r="M44">
        <f t="shared" si="9"/>
        <v>100</v>
      </c>
      <c r="O44">
        <f t="shared" si="10"/>
        <v>0.07526986209982975</v>
      </c>
      <c r="P44">
        <f t="shared" si="11"/>
        <v>0.1505397241996595</v>
      </c>
      <c r="Q44">
        <f t="shared" si="12"/>
        <v>0.53</v>
      </c>
      <c r="R44">
        <f t="shared" si="13"/>
        <v>0.47</v>
      </c>
    </row>
    <row r="46" spans="3:11" ht="12.75">
      <c r="C46">
        <f>SUM(C32:C44)</f>
        <v>503</v>
      </c>
      <c r="D46">
        <f>SUM(D32:D44)</f>
        <v>150</v>
      </c>
      <c r="E46">
        <f>SUM(E32:E44)</f>
        <v>232</v>
      </c>
      <c r="F46">
        <f>SUM(F32:F44)</f>
        <v>48</v>
      </c>
      <c r="H46">
        <f>SUM(H32:H44)</f>
        <v>27</v>
      </c>
      <c r="I46">
        <f>SUM(I32:I44)</f>
        <v>61</v>
      </c>
      <c r="J46">
        <f>SUM(J32:J44)</f>
        <v>242</v>
      </c>
      <c r="K46">
        <f>SUM(K32:K44)</f>
        <v>47</v>
      </c>
    </row>
    <row r="47" spans="7:19" ht="12.75">
      <c r="G47">
        <f>C46</f>
        <v>503</v>
      </c>
      <c r="L47">
        <f>H46</f>
        <v>27</v>
      </c>
      <c r="M47">
        <f>G47+L47</f>
        <v>530</v>
      </c>
      <c r="O47">
        <f>NORMSINV(1-L47/M47)</f>
        <v>1.6357744919377897</v>
      </c>
      <c r="P47">
        <f>NORMSINV(G47/M47)+O47</f>
        <v>3.2715489838755794</v>
      </c>
      <c r="Q47">
        <f>G47/M47</f>
        <v>0.9490566037735849</v>
      </c>
      <c r="R47">
        <f>L47/M47</f>
        <v>0.0509433962264151</v>
      </c>
      <c r="S47">
        <f>Q47</f>
        <v>0.9490566037735849</v>
      </c>
    </row>
    <row r="48" spans="7:19" ht="12.75">
      <c r="G48">
        <f>D46</f>
        <v>150</v>
      </c>
      <c r="L48">
        <f>I46</f>
        <v>61</v>
      </c>
      <c r="M48">
        <f>G48+L48</f>
        <v>211</v>
      </c>
      <c r="O48">
        <f>NORMSINV(1-L48/M48)</f>
        <v>0.5560172651041637</v>
      </c>
      <c r="P48">
        <f>NORMSINV(G48/M48)+O48</f>
        <v>1.1120345302083274</v>
      </c>
      <c r="Q48">
        <f>G48/M48</f>
        <v>0.7109004739336493</v>
      </c>
      <c r="R48">
        <f>L48/M48</f>
        <v>0.2890995260663507</v>
      </c>
      <c r="S48">
        <f>Q48</f>
        <v>0.7109004739336493</v>
      </c>
    </row>
    <row r="49" spans="7:19" ht="12.75">
      <c r="G49">
        <f>E46</f>
        <v>232</v>
      </c>
      <c r="L49">
        <f>J46</f>
        <v>242</v>
      </c>
      <c r="M49">
        <f>G49+L49</f>
        <v>474</v>
      </c>
      <c r="O49">
        <f>NORMSINV(1-L49/M49)</f>
        <v>-0.02644430829285689</v>
      </c>
      <c r="P49">
        <f>NORMSINV(G49/M49)+O49</f>
        <v>-0.05288861658571378</v>
      </c>
      <c r="Q49">
        <f>G49/M49</f>
        <v>0.48945147679324896</v>
      </c>
      <c r="R49">
        <f>L49/M49</f>
        <v>0.510548523206751</v>
      </c>
      <c r="S49">
        <f>Q49</f>
        <v>0.48945147679324896</v>
      </c>
    </row>
    <row r="50" spans="7:19" ht="12.75">
      <c r="G50">
        <f>F46</f>
        <v>48</v>
      </c>
      <c r="L50">
        <f>K46</f>
        <v>47</v>
      </c>
      <c r="M50">
        <f>G50+L50</f>
        <v>95</v>
      </c>
      <c r="O50">
        <f>NORMSINV(1-L50/M50)</f>
        <v>0.013193163115481178</v>
      </c>
      <c r="P50">
        <f>NORMSINV(G50/M50)+O50</f>
        <v>0.026386326230962355</v>
      </c>
      <c r="Q50">
        <f>G50/M50</f>
        <v>0.5052631578947369</v>
      </c>
      <c r="R50">
        <f>L50/M50</f>
        <v>0.49473684210526314</v>
      </c>
      <c r="S50">
        <f>Q50</f>
        <v>0.5052631578947369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3"/>
  <sheetViews>
    <sheetView tabSelected="1" workbookViewId="0" topLeftCell="AB1">
      <selection activeCell="AO34" sqref="AO34"/>
    </sheetView>
  </sheetViews>
  <sheetFormatPr defaultColWidth="9.140625" defaultRowHeight="12.75"/>
  <cols>
    <col min="1" max="1" width="20.7109375" style="0" customWidth="1"/>
    <col min="3" max="3" width="12.421875" style="0" bestFit="1" customWidth="1"/>
    <col min="7" max="7" width="9.57421875" style="0" bestFit="1" customWidth="1"/>
    <col min="9" max="9" width="12.421875" style="0" bestFit="1" customWidth="1"/>
    <col min="12" max="14" width="12.421875" style="0" bestFit="1" customWidth="1"/>
    <col min="16" max="17" width="1.7109375" style="0" customWidth="1"/>
    <col min="32" max="32" width="12.421875" style="0" bestFit="1" customWidth="1"/>
    <col min="35" max="42" width="3.7109375" style="0" customWidth="1"/>
    <col min="46" max="46" width="12.421875" style="0" bestFit="1" customWidth="1"/>
    <col min="49" max="49" width="12.421875" style="0" bestFit="1" customWidth="1"/>
  </cols>
  <sheetData>
    <row r="1" ht="12.75">
      <c r="S1" t="s">
        <v>98</v>
      </c>
    </row>
    <row r="2" ht="12.75">
      <c r="BF2">
        <f>L10</f>
        <v>0.0436102537686848</v>
      </c>
    </row>
    <row r="4" ht="12.75">
      <c r="L4" t="s">
        <v>100</v>
      </c>
    </row>
    <row r="5" spans="12:54" ht="13.5" thickBot="1">
      <c r="L5" t="s">
        <v>101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6:54" ht="12.75">
      <c r="F6" s="21" t="s">
        <v>64</v>
      </c>
      <c r="G6" s="22"/>
      <c r="H6" s="23"/>
      <c r="I6" s="2"/>
      <c r="J6" s="2"/>
      <c r="K6" s="2"/>
      <c r="L6" s="2"/>
      <c r="M6" s="2"/>
      <c r="N6" s="2"/>
      <c r="O6" s="2"/>
      <c r="P6" s="2"/>
      <c r="Q6" s="2"/>
      <c r="AQ6" s="19"/>
      <c r="AR6" s="19" t="s">
        <v>109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6:54" ht="12.75">
      <c r="F7" s="24"/>
      <c r="G7" s="25"/>
      <c r="H7" s="26"/>
      <c r="I7" s="2"/>
      <c r="J7" s="2"/>
      <c r="K7" s="2"/>
      <c r="L7" s="2" t="s">
        <v>99</v>
      </c>
      <c r="M7" s="2"/>
      <c r="N7" s="2"/>
      <c r="O7" s="2"/>
      <c r="P7" s="2"/>
      <c r="Q7" s="2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6:54" ht="12.75">
      <c r="F8" s="24"/>
      <c r="G8" s="27">
        <v>0</v>
      </c>
      <c r="H8" s="28"/>
      <c r="I8" s="2"/>
      <c r="J8" s="2"/>
      <c r="K8" s="2"/>
      <c r="L8" s="2">
        <f>AT30+AT47+AT64+AT83</f>
        <v>0.03329003109968595</v>
      </c>
      <c r="M8" s="2">
        <f>AU30+AU47+AU64+AU83</f>
        <v>0.04988197769998347</v>
      </c>
      <c r="N8" s="2"/>
      <c r="O8" s="2"/>
      <c r="P8" s="2"/>
      <c r="Q8" s="2"/>
      <c r="AQ8" s="19"/>
      <c r="AR8" s="19"/>
      <c r="AS8" s="19"/>
      <c r="AT8" s="19" t="s">
        <v>63</v>
      </c>
      <c r="AU8" s="19"/>
      <c r="AV8" s="19"/>
      <c r="AW8" s="19"/>
      <c r="AX8" s="19"/>
      <c r="AY8" s="19"/>
      <c r="AZ8" s="19"/>
      <c r="BA8" s="19"/>
      <c r="BB8" s="19"/>
    </row>
    <row r="9" spans="6:54" ht="12.75">
      <c r="F9" s="24"/>
      <c r="G9" s="27">
        <v>0</v>
      </c>
      <c r="H9" s="28"/>
      <c r="I9" s="2"/>
      <c r="J9" s="2"/>
      <c r="K9" s="2"/>
      <c r="L9" s="2">
        <f>AY30+AY47+AY64+AY81</f>
        <v>0.020640445337997693</v>
      </c>
      <c r="M9" s="2">
        <f>AZ30+AZ47+AZ64+AZ81</f>
        <v>9.434430369723891</v>
      </c>
      <c r="N9" s="2"/>
      <c r="O9" s="2"/>
      <c r="P9" s="2"/>
      <c r="Q9" s="2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6:54" ht="12.75">
      <c r="F10" s="24"/>
      <c r="G10" s="27">
        <v>1</v>
      </c>
      <c r="H10" s="28"/>
      <c r="I10" s="2"/>
      <c r="J10" s="2"/>
      <c r="K10" s="2"/>
      <c r="L10" s="12">
        <f>L8+L9/2</f>
        <v>0.0436102537686848</v>
      </c>
      <c r="M10" s="2">
        <f>M8+M9/2</f>
        <v>4.767097162561929</v>
      </c>
      <c r="N10" s="2"/>
      <c r="O10" s="2"/>
      <c r="P10" s="2"/>
      <c r="Q10" s="2"/>
      <c r="AQ10" s="19"/>
      <c r="AR10" s="19"/>
      <c r="AS10" s="19"/>
      <c r="AT10" s="19">
        <f>AT30+AT47+AT64+AT81</f>
        <v>0.03262587499263421</v>
      </c>
      <c r="AU10" s="19"/>
      <c r="AV10" s="19"/>
      <c r="AW10" s="19"/>
      <c r="AX10" s="19"/>
      <c r="AY10" s="19"/>
      <c r="AZ10" s="19"/>
      <c r="BA10" s="19"/>
      <c r="BB10" s="19"/>
    </row>
    <row r="11" spans="3:54" ht="12.75">
      <c r="C11" t="s">
        <v>107</v>
      </c>
      <c r="F11" s="24" t="s">
        <v>102</v>
      </c>
      <c r="G11" s="29">
        <v>0.4659554712090612</v>
      </c>
      <c r="H11" s="26"/>
      <c r="I11" s="2"/>
      <c r="J11" s="2"/>
      <c r="K11" s="2"/>
      <c r="L11" s="2"/>
      <c r="M11" s="2"/>
      <c r="N11" s="2"/>
      <c r="O11" s="2"/>
      <c r="P11" s="2"/>
      <c r="Q11" s="2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6:54" ht="12.75">
      <c r="F12" s="24"/>
      <c r="G12" s="27">
        <v>0</v>
      </c>
      <c r="H12" s="28"/>
      <c r="I12" s="2"/>
      <c r="J12" s="2"/>
      <c r="K12" s="2" t="s">
        <v>91</v>
      </c>
      <c r="L12" s="5">
        <v>0.03071416816512333</v>
      </c>
      <c r="M12" s="6">
        <v>0.05338761538399335</v>
      </c>
      <c r="N12" s="2"/>
      <c r="O12" s="2"/>
      <c r="P12" s="2"/>
      <c r="Q12" s="2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6:54" ht="13.5" thickBot="1">
      <c r="F13" s="24"/>
      <c r="G13" s="27">
        <v>0</v>
      </c>
      <c r="H13" s="28"/>
      <c r="I13" s="2"/>
      <c r="J13" s="2"/>
      <c r="K13" s="2"/>
      <c r="L13" s="7">
        <v>0.011134807506400142</v>
      </c>
      <c r="M13" s="8">
        <v>2.641078214726945</v>
      </c>
      <c r="N13" s="2"/>
      <c r="O13" s="2"/>
      <c r="P13" s="2"/>
      <c r="Q13" s="2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3:54" ht="12.75">
      <c r="C14" s="13" t="s">
        <v>105</v>
      </c>
      <c r="D14" s="14"/>
      <c r="E14" s="14"/>
      <c r="F14" s="24" t="s">
        <v>74</v>
      </c>
      <c r="G14" s="29">
        <v>5.876645008366318</v>
      </c>
      <c r="H14" s="26"/>
      <c r="I14" s="2"/>
      <c r="J14" s="2"/>
      <c r="K14" s="2"/>
      <c r="L14" s="9">
        <v>0.0362815719183234</v>
      </c>
      <c r="M14" s="10">
        <v>1.3739267227474659</v>
      </c>
      <c r="N14" s="2"/>
      <c r="O14" s="2"/>
      <c r="P14" s="2"/>
      <c r="Q14" s="2"/>
      <c r="AQ14" s="19"/>
      <c r="AR14" s="19" t="s">
        <v>50</v>
      </c>
      <c r="AS14" s="19" t="s">
        <v>46</v>
      </c>
      <c r="AT14" s="19" t="s">
        <v>58</v>
      </c>
      <c r="AU14" s="19"/>
      <c r="AV14" s="19"/>
      <c r="AW14" s="19"/>
      <c r="AX14" s="19"/>
      <c r="AY14" s="19"/>
      <c r="AZ14" s="19"/>
      <c r="BA14" s="19"/>
      <c r="BB14" s="19"/>
    </row>
    <row r="15" spans="3:54" ht="13.5" thickBot="1">
      <c r="C15" s="17" t="s">
        <v>108</v>
      </c>
      <c r="D15" s="18"/>
      <c r="E15" s="18"/>
      <c r="F15" s="24" t="s">
        <v>75</v>
      </c>
      <c r="G15" s="29">
        <v>42.24186315276732</v>
      </c>
      <c r="H15" s="26"/>
      <c r="I15" s="2"/>
      <c r="J15" s="2"/>
      <c r="K15" s="2"/>
      <c r="L15" s="2"/>
      <c r="M15" s="2"/>
      <c r="N15" s="2"/>
      <c r="O15" s="2"/>
      <c r="P15" s="2"/>
      <c r="Q15" s="2"/>
      <c r="AQ15" s="19"/>
      <c r="AR15" s="19"/>
      <c r="AS15" s="19" t="s">
        <v>6</v>
      </c>
      <c r="AT15" s="19" t="s">
        <v>47</v>
      </c>
      <c r="AU15" s="19" t="s">
        <v>110</v>
      </c>
      <c r="AV15" s="19"/>
      <c r="AW15" s="19"/>
      <c r="AX15" s="19" t="s">
        <v>48</v>
      </c>
      <c r="AY15" s="19" t="s">
        <v>47</v>
      </c>
      <c r="AZ15" s="19"/>
      <c r="BA15" s="19"/>
      <c r="BB15" s="19"/>
    </row>
    <row r="16" spans="3:54" ht="12.75">
      <c r="C16" s="13" t="s">
        <v>105</v>
      </c>
      <c r="D16" s="14"/>
      <c r="E16" s="14"/>
      <c r="F16" s="24" t="s">
        <v>84</v>
      </c>
      <c r="G16" s="29">
        <v>4.987162516283302</v>
      </c>
      <c r="H16" s="26"/>
      <c r="I16" s="2"/>
      <c r="J16" s="2"/>
      <c r="K16" s="2">
        <v>1</v>
      </c>
      <c r="L16" s="2">
        <f>AT30</f>
        <v>0.0025459503461713654</v>
      </c>
      <c r="M16" s="2"/>
      <c r="N16" s="2"/>
      <c r="O16" s="2"/>
      <c r="P16" s="2"/>
      <c r="Q16" s="2"/>
      <c r="AQ16" s="19"/>
      <c r="AR16" s="19">
        <v>2</v>
      </c>
      <c r="AS16" s="19">
        <v>0.98</v>
      </c>
      <c r="AT16" s="19">
        <f>AH34</f>
        <v>0.937354871329717</v>
      </c>
      <c r="AU16" s="19">
        <f aca="true" t="shared" si="0" ref="AU16:AV20">LN(AR16)</f>
        <v>0.6931471805599453</v>
      </c>
      <c r="AV16" s="19">
        <f t="shared" si="0"/>
        <v>-0.020202707317519466</v>
      </c>
      <c r="AW16" s="19">
        <v>2</v>
      </c>
      <c r="AX16" s="19">
        <v>0.03</v>
      </c>
      <c r="AY16" s="19">
        <f>AC34</f>
        <v>0.006055650041500105</v>
      </c>
      <c r="AZ16" s="19">
        <f>LN(AR16)</f>
        <v>0.6931471805599453</v>
      </c>
      <c r="BA16" s="19">
        <f>LN(AX16)</f>
        <v>-3.506557897319982</v>
      </c>
      <c r="BB16" s="19"/>
    </row>
    <row r="17" spans="3:54" ht="13.5" thickBot="1">
      <c r="C17" s="17" t="s">
        <v>106</v>
      </c>
      <c r="D17" s="18"/>
      <c r="E17" s="18"/>
      <c r="F17" s="24" t="s">
        <v>85</v>
      </c>
      <c r="G17" s="29">
        <v>1.435163461558178</v>
      </c>
      <c r="H17" s="26"/>
      <c r="I17" s="2"/>
      <c r="J17" s="2"/>
      <c r="K17" s="2">
        <v>2</v>
      </c>
      <c r="L17" s="2">
        <f>AT47</f>
        <v>0.0014799136513846756</v>
      </c>
      <c r="M17" s="2"/>
      <c r="N17" s="2"/>
      <c r="O17" s="2"/>
      <c r="P17" s="2"/>
      <c r="Q17" s="2"/>
      <c r="AQ17" s="19"/>
      <c r="AR17" s="19">
        <v>5</v>
      </c>
      <c r="AS17" s="19">
        <v>0.94</v>
      </c>
      <c r="AT17" s="19">
        <f>AH37</f>
        <v>0.9445767284064006</v>
      </c>
      <c r="AU17" s="19">
        <f t="shared" si="0"/>
        <v>1.6094379124341003</v>
      </c>
      <c r="AV17" s="19">
        <f t="shared" si="0"/>
        <v>-0.06187540371808753</v>
      </c>
      <c r="AW17" s="19">
        <v>5</v>
      </c>
      <c r="AX17" s="19">
        <v>0.09</v>
      </c>
      <c r="AY17" s="19">
        <f>AC37</f>
        <v>0.07013630879224819</v>
      </c>
      <c r="AZ17" s="19">
        <f>LN(AR17)</f>
        <v>1.6094379124341003</v>
      </c>
      <c r="BA17" s="19">
        <f>LN(AX17)</f>
        <v>-2.4079456086518722</v>
      </c>
      <c r="BB17" s="19"/>
    </row>
    <row r="18" spans="6:54" ht="12.75">
      <c r="F18" s="24"/>
      <c r="G18" s="27">
        <v>0</v>
      </c>
      <c r="H18" s="28"/>
      <c r="I18" s="2"/>
      <c r="J18" s="2"/>
      <c r="K18" s="2">
        <v>3</v>
      </c>
      <c r="L18" s="2">
        <f>AT64</f>
        <v>0.005973307266125476</v>
      </c>
      <c r="M18" s="2">
        <f>1-NORMDIST(highcrit,0,1,TRUE)</f>
        <v>0.15865525393145707</v>
      </c>
      <c r="N18" s="2" t="s">
        <v>76</v>
      </c>
      <c r="O18" s="2"/>
      <c r="P18" s="2"/>
      <c r="Q18" s="2"/>
      <c r="AQ18" s="19"/>
      <c r="AR18" s="19">
        <v>10</v>
      </c>
      <c r="AS18" s="19">
        <v>0.93</v>
      </c>
      <c r="AT18" s="19">
        <f>AH42</f>
        <v>0.9102514730528509</v>
      </c>
      <c r="AU18" s="19">
        <f t="shared" si="0"/>
        <v>2.302585092994046</v>
      </c>
      <c r="AV18" s="19">
        <f t="shared" si="0"/>
        <v>-0.07257069283483537</v>
      </c>
      <c r="AW18" s="19">
        <v>10</v>
      </c>
      <c r="AX18" s="19">
        <v>0.08</v>
      </c>
      <c r="AY18" s="19">
        <f>AC42</f>
        <v>0.12924236339905038</v>
      </c>
      <c r="AZ18" s="19">
        <f>LN(AR18)</f>
        <v>2.302585092994046</v>
      </c>
      <c r="BA18" s="19">
        <f>LN(AX18)</f>
        <v>-2.5257286443082556</v>
      </c>
      <c r="BB18" s="19"/>
    </row>
    <row r="19" spans="6:54" ht="12.75">
      <c r="F19" s="24"/>
      <c r="G19" s="27">
        <v>0</v>
      </c>
      <c r="H19" s="28"/>
      <c r="I19" s="2"/>
      <c r="J19" s="2"/>
      <c r="K19" s="2">
        <v>4</v>
      </c>
      <c r="L19" s="2">
        <f>AT83</f>
        <v>0.023290859836004436</v>
      </c>
      <c r="M19" s="2">
        <f>1-NORMDIST($B33,dprimec,SDC,TRUE)</f>
        <v>0.700751502728888</v>
      </c>
      <c r="N19" s="2"/>
      <c r="O19" s="2"/>
      <c r="P19" s="2"/>
      <c r="Q19" s="2"/>
      <c r="AQ19" s="19"/>
      <c r="AR19" s="19">
        <v>20</v>
      </c>
      <c r="AS19" s="19">
        <v>0.83</v>
      </c>
      <c r="AT19" s="19">
        <f>AH52</f>
        <v>0.8477874277898222</v>
      </c>
      <c r="AU19" s="19">
        <f t="shared" si="0"/>
        <v>2.995732273553991</v>
      </c>
      <c r="AV19" s="19">
        <f t="shared" si="0"/>
        <v>-0.18632957819149348</v>
      </c>
      <c r="AW19" s="19">
        <v>20</v>
      </c>
      <c r="AX19" s="19">
        <v>0.09</v>
      </c>
      <c r="AY19" s="19">
        <f>AC52</f>
        <v>0.16914138036129356</v>
      </c>
      <c r="AZ19" s="19">
        <f>LN(AR19)</f>
        <v>2.995732273553991</v>
      </c>
      <c r="BA19" s="19">
        <f>LN(AX19)</f>
        <v>-2.4079456086518722</v>
      </c>
      <c r="BB19" s="19"/>
    </row>
    <row r="20" spans="6:54" ht="13.5" thickBot="1">
      <c r="F20" s="24" t="s">
        <v>86</v>
      </c>
      <c r="G20" s="27">
        <v>1E-06</v>
      </c>
      <c r="H20" s="28"/>
      <c r="I20" s="2"/>
      <c r="J20" s="2"/>
      <c r="K20" s="2"/>
      <c r="L20" s="2"/>
      <c r="M20" s="2"/>
      <c r="N20" s="2"/>
      <c r="O20" s="2"/>
      <c r="P20" s="2"/>
      <c r="Q20" s="2"/>
      <c r="AQ20" s="19"/>
      <c r="AR20" s="19">
        <v>49</v>
      </c>
      <c r="AS20" s="19">
        <v>0.7</v>
      </c>
      <c r="AT20" s="19">
        <f>AH81</f>
        <v>0.7166589411769627</v>
      </c>
      <c r="AU20" s="19">
        <f t="shared" si="0"/>
        <v>3.8918202981106265</v>
      </c>
      <c r="AV20" s="19">
        <f t="shared" si="0"/>
        <v>-0.35667494393873245</v>
      </c>
      <c r="AW20" s="19">
        <v>49</v>
      </c>
      <c r="AX20" s="19">
        <v>0.2</v>
      </c>
      <c r="AY20" s="19">
        <f>AC81</f>
        <v>0.19613274120490853</v>
      </c>
      <c r="AZ20" s="19">
        <f>LN(AR20)</f>
        <v>3.8918202981106265</v>
      </c>
      <c r="BA20" s="19">
        <f>LN(AX20)</f>
        <v>-1.6094379124341003</v>
      </c>
      <c r="BB20" s="19"/>
    </row>
    <row r="21" spans="3:54" ht="12.75">
      <c r="C21" s="13" t="s">
        <v>103</v>
      </c>
      <c r="D21" s="14"/>
      <c r="E21" s="14"/>
      <c r="F21" s="24" t="s">
        <v>87</v>
      </c>
      <c r="G21" s="29">
        <v>5055.402930887609</v>
      </c>
      <c r="H21" s="26"/>
      <c r="I21" s="2"/>
      <c r="J21" s="2"/>
      <c r="K21" s="2"/>
      <c r="L21" s="2">
        <f>SUM(L16:L19)</f>
        <v>0.03329003109968595</v>
      </c>
      <c r="M21" s="2"/>
      <c r="N21" s="2"/>
      <c r="O21" s="2"/>
      <c r="P21" s="2"/>
      <c r="Q21" s="2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spans="3:54" ht="12.75">
      <c r="C22" s="15" t="s">
        <v>104</v>
      </c>
      <c r="D22" s="16"/>
      <c r="E22" s="16"/>
      <c r="F22" s="24" t="s">
        <v>89</v>
      </c>
      <c r="G22" s="29">
        <v>1465.8978863543132</v>
      </c>
      <c r="H22" s="26"/>
      <c r="I22" s="2"/>
      <c r="J22" s="2"/>
      <c r="K22" s="2"/>
      <c r="L22" s="2"/>
      <c r="M22" s="2"/>
      <c r="N22" s="2"/>
      <c r="O22" s="2"/>
      <c r="P22" s="2"/>
      <c r="Q22" s="2"/>
      <c r="AQ22" s="19"/>
      <c r="AR22" s="19"/>
      <c r="AS22" s="19"/>
      <c r="AT22" s="19">
        <f>(AS16-AT16)^2</f>
        <v>0.0018186069993049955</v>
      </c>
      <c r="AU22" s="19">
        <f>(LN(AT16)-LN(AS16))^2</f>
        <v>0.0019794161327382704</v>
      </c>
      <c r="AV22" s="19"/>
      <c r="AW22" s="19"/>
      <c r="AX22" s="19"/>
      <c r="AY22" s="19">
        <f>(AX16-AY16)^2</f>
        <v>0.0005733318949351139</v>
      </c>
      <c r="AZ22" s="19">
        <f>(LN(AY16)-LN(AX16))^2</f>
        <v>2.5606581359493608</v>
      </c>
      <c r="BA22" s="19"/>
      <c r="BB22" s="19"/>
    </row>
    <row r="23" spans="3:54" ht="13.5" thickBot="1">
      <c r="C23" s="17"/>
      <c r="D23" s="18"/>
      <c r="E23" s="18"/>
      <c r="F23" s="30" t="s">
        <v>88</v>
      </c>
      <c r="G23" s="31">
        <v>0.7851360148695723</v>
      </c>
      <c r="H23" s="32"/>
      <c r="I23" s="2"/>
      <c r="J23" s="2"/>
      <c r="K23" s="2"/>
      <c r="L23" s="2"/>
      <c r="M23" s="2"/>
      <c r="N23" s="2"/>
      <c r="O23" s="2"/>
      <c r="P23" s="2"/>
      <c r="Q23" s="2"/>
      <c r="AQ23" s="19"/>
      <c r="AR23" s="19"/>
      <c r="AS23" s="19"/>
      <c r="AT23" s="19">
        <f>(AS17-AT17)^2</f>
        <v>2.0946442905954773E-05</v>
      </c>
      <c r="AU23" s="19">
        <f>(LN(AT17)-LN(AS17))^2</f>
        <v>2.3590890419665486E-05</v>
      </c>
      <c r="AV23" s="19"/>
      <c r="AW23" s="19"/>
      <c r="AX23" s="19"/>
      <c r="AY23" s="19">
        <f>(AX17-AY17)^2</f>
        <v>0.00039456622839691635</v>
      </c>
      <c r="AZ23" s="19">
        <f>(LN(AY17)-LN(AX17))^2</f>
        <v>0.06218492473864241</v>
      </c>
      <c r="BA23" s="19"/>
      <c r="BB23" s="19"/>
    </row>
    <row r="24" spans="6:54" ht="12.75">
      <c r="F24" s="2"/>
      <c r="G24" s="11">
        <v>0</v>
      </c>
      <c r="H24" s="4"/>
      <c r="I24" s="2"/>
      <c r="J24" s="2"/>
      <c r="K24" s="2"/>
      <c r="L24" s="2"/>
      <c r="M24" s="2"/>
      <c r="N24" s="2"/>
      <c r="O24" s="2"/>
      <c r="P24" s="2"/>
      <c r="Q24" s="2"/>
      <c r="AQ24" s="19"/>
      <c r="AR24" s="19"/>
      <c r="AS24" s="19"/>
      <c r="AT24" s="19">
        <f>(AS18-AT18)^2</f>
        <v>0.00039000431658227515</v>
      </c>
      <c r="AU24" s="19">
        <f>(LN(AT18)-LN(AS18))^2</f>
        <v>0.0004606895934095157</v>
      </c>
      <c r="AV24" s="19"/>
      <c r="AW24" s="19"/>
      <c r="AX24" s="19"/>
      <c r="AY24" s="19">
        <f>(AX18-AY18)^2</f>
        <v>0.0024248103531241357</v>
      </c>
      <c r="AZ24" s="19">
        <f>(LN(AY18)-LN(AX18))^2</f>
        <v>0.23007639500385532</v>
      </c>
      <c r="BA24" s="19"/>
      <c r="BB24" s="19"/>
    </row>
    <row r="25" spans="6:54" ht="12.75">
      <c r="F25" s="2"/>
      <c r="G25" s="11">
        <v>0</v>
      </c>
      <c r="H25" s="4"/>
      <c r="I25" s="2"/>
      <c r="J25" s="2"/>
      <c r="K25" s="2"/>
      <c r="L25" s="2"/>
      <c r="M25" s="2"/>
      <c r="N25" s="2"/>
      <c r="O25" s="2"/>
      <c r="P25" s="2"/>
      <c r="Q25" s="2"/>
      <c r="AQ25" s="19"/>
      <c r="AR25" s="19"/>
      <c r="AS25" s="19"/>
      <c r="AT25" s="19">
        <f>(AS19-AT19)^2</f>
        <v>0.00031639258737814013</v>
      </c>
      <c r="AU25" s="19">
        <f>(LN(AT19)-LN(AS19))^2</f>
        <v>0.0004496193190423215</v>
      </c>
      <c r="AV25" s="19"/>
      <c r="AW25" s="19"/>
      <c r="AX25" s="19"/>
      <c r="AY25" s="19">
        <f>(AX19-AY19)^2</f>
        <v>0.006263358085490943</v>
      </c>
      <c r="AZ25" s="19">
        <f>(LN(AY19)-LN(AX19))^2</f>
        <v>0.3980666900761109</v>
      </c>
      <c r="BA25" s="19"/>
      <c r="BB25" s="19"/>
    </row>
    <row r="26" spans="6:54" ht="12.75">
      <c r="F26" s="2"/>
      <c r="G26" s="11">
        <v>0</v>
      </c>
      <c r="H26" s="4"/>
      <c r="I26" s="2"/>
      <c r="J26" s="2"/>
      <c r="K26" s="2"/>
      <c r="L26" s="2"/>
      <c r="M26" s="2"/>
      <c r="N26" s="2"/>
      <c r="O26" s="2"/>
      <c r="P26" s="2"/>
      <c r="Q26" s="2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7:54" ht="12.75">
      <c r="Q27" s="2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17:54" ht="12.75">
      <c r="Q28" s="2"/>
      <c r="AF28" t="s">
        <v>112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8:54" ht="12.75">
      <c r="H29" t="s">
        <v>111</v>
      </c>
      <c r="Q29" s="2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7:54" ht="12.75">
      <c r="Q30" s="2"/>
      <c r="AF30" t="s">
        <v>81</v>
      </c>
      <c r="AQ30" s="19"/>
      <c r="AR30" s="19"/>
      <c r="AS30" s="19"/>
      <c r="AT30" s="19">
        <f>SUM(AT22:AT25)</f>
        <v>0.0025459503461713654</v>
      </c>
      <c r="AU30" s="19">
        <f>SUM(AU22:AU25)</f>
        <v>0.0029133159356097733</v>
      </c>
      <c r="AV30" s="19"/>
      <c r="AW30" s="19"/>
      <c r="AX30" s="19"/>
      <c r="AY30" s="19">
        <f>SUM(AY22:AY25)</f>
        <v>0.009656066561947108</v>
      </c>
      <c r="AZ30" s="19">
        <f>SUM(AZ22:AZ25)</f>
        <v>3.2509861457679694</v>
      </c>
      <c r="BA30" s="19"/>
      <c r="BB30" s="19"/>
    </row>
    <row r="31" spans="1:54" ht="12.75">
      <c r="A31" t="s">
        <v>90</v>
      </c>
      <c r="Q31" s="2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2:54" ht="12.75">
      <c r="B32" t="s">
        <v>92</v>
      </c>
      <c r="C32" t="s">
        <v>45</v>
      </c>
      <c r="H32" t="s">
        <v>66</v>
      </c>
      <c r="I32" t="s">
        <v>70</v>
      </c>
      <c r="J32" t="s">
        <v>69</v>
      </c>
      <c r="K32" t="s">
        <v>71</v>
      </c>
      <c r="L32" s="1" t="s">
        <v>67</v>
      </c>
      <c r="M32" s="1" t="s">
        <v>72</v>
      </c>
      <c r="N32" s="1" t="s">
        <v>73</v>
      </c>
      <c r="R32" t="s">
        <v>68</v>
      </c>
      <c r="S32" t="s">
        <v>93</v>
      </c>
      <c r="T32" t="s">
        <v>65</v>
      </c>
      <c r="V32" t="s">
        <v>77</v>
      </c>
      <c r="W32" t="s">
        <v>78</v>
      </c>
      <c r="X32" t="s">
        <v>79</v>
      </c>
      <c r="Y32" t="s">
        <v>80</v>
      </c>
      <c r="Z32" t="s">
        <v>72</v>
      </c>
      <c r="AA32" t="s">
        <v>73</v>
      </c>
      <c r="AC32" t="s">
        <v>45</v>
      </c>
      <c r="AD32" t="s">
        <v>82</v>
      </c>
      <c r="AE32" t="s">
        <v>83</v>
      </c>
      <c r="AF32" t="s">
        <v>113</v>
      </c>
      <c r="AG32" t="s">
        <v>114</v>
      </c>
      <c r="AH32" t="s">
        <v>115</v>
      </c>
      <c r="AQ32" s="19"/>
      <c r="AR32" s="19"/>
      <c r="AS32" s="19"/>
      <c r="AT32" s="20">
        <f>AT30+AY30</f>
        <v>0.012202016908118474</v>
      </c>
      <c r="AU32" s="19"/>
      <c r="AV32" s="19" t="s">
        <v>53</v>
      </c>
      <c r="AW32" s="19"/>
      <c r="AX32" s="19"/>
      <c r="AY32" s="19"/>
      <c r="AZ32" s="19"/>
      <c r="BA32" s="19"/>
      <c r="BB32" s="19"/>
    </row>
    <row r="33" spans="1:54" ht="12.75">
      <c r="A33">
        <v>1</v>
      </c>
      <c r="B33">
        <f>F33</f>
        <v>4.23145833758545</v>
      </c>
      <c r="C33">
        <f>1-NORMDIST($B33,0,1,TRUE)</f>
        <v>1.1609050253214015E-05</v>
      </c>
      <c r="E33">
        <f>B33</f>
        <v>4.23145833758545</v>
      </c>
      <c r="F33">
        <f aca="true" t="shared" si="1" ref="F33:F64">Min/(1+middle*A33)+sdd</f>
        <v>4.23145833758545</v>
      </c>
      <c r="G33">
        <v>1</v>
      </c>
      <c r="H33">
        <f aca="true" t="shared" si="2" ref="H33:H64">C33*knoise*G33</f>
        <v>5.409300481026008E-06</v>
      </c>
      <c r="I33">
        <f>highcrit*(1-NORMDIST($B33,dprimec,SDC,TRUE))</f>
        <v>0.700751502728888</v>
      </c>
      <c r="J33">
        <f aca="true" t="shared" si="3" ref="J33:J64">I33*MB</f>
        <v>4.118067820616916</v>
      </c>
      <c r="K33">
        <f aca="true" t="shared" si="4" ref="K33:K64">I33*MC</f>
        <v>29.601049082369745</v>
      </c>
      <c r="L33">
        <f aca="true" t="shared" si="5" ref="L33:L64">(I33+knoise*G33*C33)/(highcrit+knoise*G33)</f>
        <v>0.4780205987098727</v>
      </c>
      <c r="M33">
        <f aca="true" t="shared" si="6" ref="M33:M64">(J33+knoise*G33*C33)/(highcrit*MB+knoise*G33)</f>
        <v>0.6492720522408013</v>
      </c>
      <c r="N33">
        <f aca="true" t="shared" si="7" ref="N33:N64">(K33+knoise*G33*C33)/(highcrit*MC+knoise*G33)</f>
        <v>0.6931062143982236</v>
      </c>
      <c r="R33">
        <f>F33</f>
        <v>4.23145833758545</v>
      </c>
      <c r="S33" s="2">
        <f>(1-NORMDIST(R33,0,1,TRUE))</f>
        <v>1.1609050253214015E-05</v>
      </c>
      <c r="T33" s="2">
        <f aca="true" t="shared" si="8" ref="T33:T64">(1-NORMDIST(R33,0,1,TRUE))*knoise*G33</f>
        <v>5.409300481026008E-06</v>
      </c>
      <c r="V33">
        <f aca="true" t="shared" si="9" ref="V33:V64">1-NORMDIST(R33,dprimeb,1,TRUE)</f>
        <v>1.1609050253214015E-05</v>
      </c>
      <c r="W33">
        <f>V33</f>
        <v>1.1609050253214015E-05</v>
      </c>
      <c r="X33">
        <f>V33</f>
        <v>1.1609050253214015E-05</v>
      </c>
      <c r="AC33">
        <f>C33</f>
        <v>1.1609050253214015E-05</v>
      </c>
      <c r="AD33">
        <f>LN(G33)</f>
        <v>0</v>
      </c>
      <c r="AE33" t="s">
        <v>97</v>
      </c>
      <c r="AM33" t="s">
        <v>94</v>
      </c>
      <c r="AN33" t="s">
        <v>95</v>
      </c>
      <c r="AO33" t="s">
        <v>96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s="3" customFormat="1" ht="12.75">
      <c r="A34" s="3">
        <v>2</v>
      </c>
      <c r="B34">
        <f aca="true" t="shared" si="10" ref="B34:B92">F34</f>
        <v>2.508884725206337</v>
      </c>
      <c r="C34">
        <f aca="true" t="shared" si="11" ref="C34:C92">1-NORMDIST(B34,0,1,TRUE)</f>
        <v>0.006055650041500105</v>
      </c>
      <c r="E34">
        <f aca="true" t="shared" si="12" ref="E34:E92">B34</f>
        <v>2.508884725206337</v>
      </c>
      <c r="F34">
        <f t="shared" si="1"/>
        <v>2.508884725206337</v>
      </c>
      <c r="G34" s="3">
        <v>2</v>
      </c>
      <c r="H34">
        <f t="shared" si="2"/>
        <v>0.005643326537128705</v>
      </c>
      <c r="I34">
        <f aca="true" t="shared" si="13" ref="I34:I64">highcrit*(1-NORMDIST($B34,dprimec,SDC,TRUE))</f>
        <v>0.9579005544556071</v>
      </c>
      <c r="J34">
        <f t="shared" si="3"/>
        <v>5.629241511852872</v>
      </c>
      <c r="K34">
        <f t="shared" si="4"/>
        <v>40.463504135273695</v>
      </c>
      <c r="L34">
        <f t="shared" si="5"/>
        <v>0.49875170735701363</v>
      </c>
      <c r="M34">
        <f t="shared" si="6"/>
        <v>0.8276182026147237</v>
      </c>
      <c r="N34">
        <f t="shared" si="7"/>
        <v>0.937354871329717</v>
      </c>
      <c r="R34">
        <f aca="true" t="shared" si="14" ref="R34:R92">F34</f>
        <v>2.508884725206337</v>
      </c>
      <c r="S34" s="3">
        <f aca="true" t="shared" si="15" ref="S34:S92">(1-NORMDIST(R34,0,1,TRUE))</f>
        <v>0.006055650041500105</v>
      </c>
      <c r="T34" s="3">
        <f t="shared" si="8"/>
        <v>0.005643326537128705</v>
      </c>
      <c r="V34">
        <f t="shared" si="9"/>
        <v>0.006055650041500105</v>
      </c>
      <c r="W34">
        <f aca="true" t="shared" si="16" ref="W34:W92">V34</f>
        <v>0.006055650041500105</v>
      </c>
      <c r="X34">
        <f aca="true" t="shared" si="17" ref="X34:X92">V34</f>
        <v>0.006055650041500105</v>
      </c>
      <c r="Y34"/>
      <c r="Z34"/>
      <c r="AA34"/>
      <c r="AC34">
        <f aca="true" t="shared" si="18" ref="AC34:AC92">C34</f>
        <v>0.006055650041500105</v>
      </c>
      <c r="AD34" s="3">
        <f aca="true" t="shared" si="19" ref="AD34:AD92">LN(G34)</f>
        <v>0.6931471805599453</v>
      </c>
      <c r="AE34" s="3">
        <f aca="true" t="shared" si="20" ref="AE34:AE92">LN(AC34)</f>
        <v>-5.106763551587383</v>
      </c>
      <c r="AF34">
        <f aca="true" t="shared" si="21" ref="AF34:AF92">L34</f>
        <v>0.49875170735701363</v>
      </c>
      <c r="AG34">
        <f aca="true" t="shared" si="22" ref="AG33:AG92">M34</f>
        <v>0.8276182026147237</v>
      </c>
      <c r="AH34">
        <f aca="true" t="shared" si="23" ref="AH33:AH92">N34</f>
        <v>0.937354871329717</v>
      </c>
      <c r="AI34" s="3">
        <v>2</v>
      </c>
      <c r="AL34" s="3">
        <f aca="true" t="shared" si="24" ref="AL34:AL92">LN(G34)</f>
        <v>0.6931471805599453</v>
      </c>
      <c r="AM34" s="3">
        <f aca="true" t="shared" si="25" ref="AM34:AM92">LN(AF34)</f>
        <v>-0.6956468875117154</v>
      </c>
      <c r="AN34" s="3">
        <f aca="true" t="shared" si="26" ref="AN34:AN92">LN(AG34)</f>
        <v>-0.18920333889307347</v>
      </c>
      <c r="AO34" s="3">
        <f>LN(AH34)</f>
        <v>-0.06469333703590253</v>
      </c>
      <c r="AQ34" s="19"/>
      <c r="AR34" s="19" t="s">
        <v>49</v>
      </c>
      <c r="AS34" s="19" t="s">
        <v>46</v>
      </c>
      <c r="AT34" s="19" t="s">
        <v>59</v>
      </c>
      <c r="AU34" s="19"/>
      <c r="AV34" s="19"/>
      <c r="AW34" s="19"/>
      <c r="AX34" s="19"/>
      <c r="AY34" s="19"/>
      <c r="AZ34" s="19"/>
      <c r="BA34" s="19"/>
      <c r="BB34" s="19"/>
    </row>
    <row r="35" spans="1:54" ht="12.75">
      <c r="A35">
        <v>3</v>
      </c>
      <c r="B35">
        <f t="shared" si="10"/>
        <v>1.9344324475664947</v>
      </c>
      <c r="C35">
        <f t="shared" si="11"/>
        <v>0.02652999010813184</v>
      </c>
      <c r="E35">
        <f t="shared" si="12"/>
        <v>1.9344324475664947</v>
      </c>
      <c r="F35">
        <f t="shared" si="1"/>
        <v>1.9344324475664947</v>
      </c>
      <c r="G35">
        <v>3</v>
      </c>
      <c r="H35">
        <f t="shared" si="2"/>
        <v>0.03708538212601892</v>
      </c>
      <c r="I35">
        <f t="shared" si="13"/>
        <v>0.9832939349380553</v>
      </c>
      <c r="J35">
        <f t="shared" si="3"/>
        <v>5.778469394510598</v>
      </c>
      <c r="K35">
        <f t="shared" si="4"/>
        <v>41.536167838599425</v>
      </c>
      <c r="L35">
        <f t="shared" si="5"/>
        <v>0.42553634817403185</v>
      </c>
      <c r="M35">
        <f t="shared" si="6"/>
        <v>0.7994426620946766</v>
      </c>
      <c r="N35">
        <f t="shared" si="7"/>
        <v>0.9526469030353389</v>
      </c>
      <c r="R35">
        <f t="shared" si="14"/>
        <v>1.9344324475664947</v>
      </c>
      <c r="S35" s="2">
        <f t="shared" si="15"/>
        <v>0.02652999010813184</v>
      </c>
      <c r="T35" s="2">
        <f t="shared" si="8"/>
        <v>0.03708538212601892</v>
      </c>
      <c r="V35">
        <f t="shared" si="9"/>
        <v>0.02652999010813184</v>
      </c>
      <c r="W35">
        <f t="shared" si="16"/>
        <v>0.02652999010813184</v>
      </c>
      <c r="X35">
        <f t="shared" si="17"/>
        <v>0.02652999010813184</v>
      </c>
      <c r="AC35">
        <f t="shared" si="18"/>
        <v>0.02652999010813184</v>
      </c>
      <c r="AD35">
        <f t="shared" si="19"/>
        <v>1.0986122886681098</v>
      </c>
      <c r="AE35">
        <f t="shared" si="20"/>
        <v>-3.629479483688501</v>
      </c>
      <c r="AF35">
        <f t="shared" si="21"/>
        <v>0.42553634817403185</v>
      </c>
      <c r="AG35">
        <f t="shared" si="22"/>
        <v>0.7994426620946766</v>
      </c>
      <c r="AH35">
        <f t="shared" si="23"/>
        <v>0.9526469030353389</v>
      </c>
      <c r="AL35">
        <f t="shared" si="24"/>
        <v>1.0986122886681098</v>
      </c>
      <c r="AM35">
        <f t="shared" si="25"/>
        <v>-0.8544049100013619</v>
      </c>
      <c r="AN35">
        <f t="shared" si="26"/>
        <v>-0.22384046648483713</v>
      </c>
      <c r="AO35">
        <f aca="true" t="shared" si="27" ref="AO34:AO92">LN(AH35)</f>
        <v>-0.04851095496484408</v>
      </c>
      <c r="AQ35" s="19"/>
      <c r="AR35" s="19"/>
      <c r="AS35" s="19" t="s">
        <v>6</v>
      </c>
      <c r="AT35" s="19" t="s">
        <v>47</v>
      </c>
      <c r="AU35" s="19"/>
      <c r="AV35" s="19"/>
      <c r="AW35" s="19"/>
      <c r="AX35" s="19" t="s">
        <v>48</v>
      </c>
      <c r="AY35" s="19" t="s">
        <v>47</v>
      </c>
      <c r="AZ35" s="19"/>
      <c r="BA35" s="19"/>
      <c r="BB35" s="19"/>
    </row>
    <row r="36" spans="1:54" ht="12.75">
      <c r="A36">
        <v>4</v>
      </c>
      <c r="B36">
        <f t="shared" si="10"/>
        <v>1.6471573324220343</v>
      </c>
      <c r="C36">
        <f t="shared" si="11"/>
        <v>0.0497628556553531</v>
      </c>
      <c r="E36">
        <f t="shared" si="12"/>
        <v>1.6471573324220343</v>
      </c>
      <c r="F36">
        <f t="shared" si="1"/>
        <v>1.6471573324220343</v>
      </c>
      <c r="G36">
        <v>4</v>
      </c>
      <c r="H36">
        <f t="shared" si="2"/>
        <v>0.0927490994223942</v>
      </c>
      <c r="I36">
        <f t="shared" si="13"/>
        <v>0.9900244078692733</v>
      </c>
      <c r="J36">
        <f t="shared" si="3"/>
        <v>5.818021994665784</v>
      </c>
      <c r="K36">
        <f t="shared" si="4"/>
        <v>41.82047555511334</v>
      </c>
      <c r="L36">
        <f t="shared" si="5"/>
        <v>0.37808688907116905</v>
      </c>
      <c r="M36">
        <f t="shared" si="6"/>
        <v>0.7636194528884083</v>
      </c>
      <c r="N36">
        <f t="shared" si="7"/>
        <v>0.9502907531943198</v>
      </c>
      <c r="R36">
        <f t="shared" si="14"/>
        <v>1.6471573324220343</v>
      </c>
      <c r="S36" s="2">
        <f t="shared" si="15"/>
        <v>0.0497628556553531</v>
      </c>
      <c r="T36" s="2">
        <f t="shared" si="8"/>
        <v>0.0927490994223942</v>
      </c>
      <c r="V36">
        <f t="shared" si="9"/>
        <v>0.0497628556553531</v>
      </c>
      <c r="W36">
        <f t="shared" si="16"/>
        <v>0.0497628556553531</v>
      </c>
      <c r="X36">
        <f t="shared" si="17"/>
        <v>0.0497628556553531</v>
      </c>
      <c r="AC36">
        <f t="shared" si="18"/>
        <v>0.0497628556553531</v>
      </c>
      <c r="AD36">
        <f t="shared" si="19"/>
        <v>1.3862943611198906</v>
      </c>
      <c r="AE36">
        <f t="shared" si="20"/>
        <v>-3.0004864436256655</v>
      </c>
      <c r="AF36">
        <f t="shared" si="21"/>
        <v>0.37808688907116905</v>
      </c>
      <c r="AG36">
        <f t="shared" si="22"/>
        <v>0.7636194528884083</v>
      </c>
      <c r="AH36">
        <f t="shared" si="23"/>
        <v>0.9502907531943198</v>
      </c>
      <c r="AL36">
        <f t="shared" si="24"/>
        <v>1.3862943611198906</v>
      </c>
      <c r="AM36">
        <f t="shared" si="25"/>
        <v>-0.9726312445098791</v>
      </c>
      <c r="AN36">
        <f t="shared" si="26"/>
        <v>-0.26968571222139176</v>
      </c>
      <c r="AO36">
        <f t="shared" si="27"/>
        <v>-0.050987285219111535</v>
      </c>
      <c r="AQ36" s="19"/>
      <c r="AR36" s="19">
        <v>2</v>
      </c>
      <c r="AS36" s="19">
        <v>0.81</v>
      </c>
      <c r="AT36" s="19">
        <f>AG34</f>
        <v>0.8276182026147237</v>
      </c>
      <c r="AU36" s="19">
        <f aca="true" t="shared" si="28" ref="AU36:AV40">LN(AR36)</f>
        <v>0.6931471805599453</v>
      </c>
      <c r="AV36" s="19">
        <f t="shared" si="28"/>
        <v>-0.21072103131565253</v>
      </c>
      <c r="AW36" s="19">
        <v>2</v>
      </c>
      <c r="AX36" s="19">
        <v>0.02</v>
      </c>
      <c r="AY36" s="19">
        <f>AY16</f>
        <v>0.006055650041500105</v>
      </c>
      <c r="AZ36" s="19">
        <f>LN(AR36)</f>
        <v>0.6931471805599453</v>
      </c>
      <c r="BA36" s="19">
        <f>LN(AX36)</f>
        <v>-3.912023005428146</v>
      </c>
      <c r="BB36" s="19"/>
    </row>
    <row r="37" spans="1:62" s="3" customFormat="1" ht="12.75">
      <c r="A37" s="3">
        <v>5</v>
      </c>
      <c r="B37">
        <f t="shared" si="10"/>
        <v>1.4747765877045385</v>
      </c>
      <c r="C37">
        <f t="shared" si="11"/>
        <v>0.07013630879224819</v>
      </c>
      <c r="E37">
        <f t="shared" si="12"/>
        <v>1.4747765877045385</v>
      </c>
      <c r="F37">
        <f t="shared" si="1"/>
        <v>1.4747765877045385</v>
      </c>
      <c r="G37" s="3">
        <v>5</v>
      </c>
      <c r="H37">
        <f t="shared" si="2"/>
        <v>0.16340198406078116</v>
      </c>
      <c r="I37">
        <f t="shared" si="13"/>
        <v>0.9928049867448197</v>
      </c>
      <c r="J37">
        <f t="shared" si="3"/>
        <v>5.834362469635133</v>
      </c>
      <c r="K37">
        <f t="shared" si="4"/>
        <v>41.93793238745965</v>
      </c>
      <c r="L37">
        <f t="shared" si="5"/>
        <v>0.34723251652440784</v>
      </c>
      <c r="M37">
        <f t="shared" si="6"/>
        <v>0.7308622670587995</v>
      </c>
      <c r="N37">
        <f t="shared" si="7"/>
        <v>0.9445767284064006</v>
      </c>
      <c r="R37">
        <f t="shared" si="14"/>
        <v>1.4747765877045385</v>
      </c>
      <c r="S37" s="3">
        <f t="shared" si="15"/>
        <v>0.07013630879224819</v>
      </c>
      <c r="T37" s="3">
        <f t="shared" si="8"/>
        <v>0.16340198406078116</v>
      </c>
      <c r="V37">
        <f t="shared" si="9"/>
        <v>0.07013630879224819</v>
      </c>
      <c r="W37">
        <f t="shared" si="16"/>
        <v>0.07013630879224819</v>
      </c>
      <c r="X37">
        <f t="shared" si="17"/>
        <v>0.07013630879224819</v>
      </c>
      <c r="Y37"/>
      <c r="Z37"/>
      <c r="AA37"/>
      <c r="AC37">
        <f t="shared" si="18"/>
        <v>0.07013630879224819</v>
      </c>
      <c r="AD37" s="3">
        <f t="shared" si="19"/>
        <v>1.6094379124341003</v>
      </c>
      <c r="AE37" s="3">
        <f t="shared" si="20"/>
        <v>-2.6573146619416548</v>
      </c>
      <c r="AF37">
        <f t="shared" si="21"/>
        <v>0.34723251652440784</v>
      </c>
      <c r="AG37">
        <f t="shared" si="22"/>
        <v>0.7308622670587995</v>
      </c>
      <c r="AH37">
        <f t="shared" si="23"/>
        <v>0.9445767284064006</v>
      </c>
      <c r="AI37" s="3">
        <v>5</v>
      </c>
      <c r="AL37" s="3">
        <f t="shared" si="24"/>
        <v>1.6094379124341003</v>
      </c>
      <c r="AM37" s="3">
        <f t="shared" si="25"/>
        <v>-1.057760646997041</v>
      </c>
      <c r="AN37" s="3">
        <f t="shared" si="26"/>
        <v>-0.3135302541413259</v>
      </c>
      <c r="AO37" s="3">
        <f t="shared" si="27"/>
        <v>-0.0570183582767039</v>
      </c>
      <c r="AQ37" s="19"/>
      <c r="AR37" s="19">
        <v>5</v>
      </c>
      <c r="AS37" s="19">
        <v>0.71</v>
      </c>
      <c r="AT37" s="19">
        <f>AG37</f>
        <v>0.7308622670587995</v>
      </c>
      <c r="AU37" s="19">
        <f t="shared" si="28"/>
        <v>1.6094379124341003</v>
      </c>
      <c r="AV37" s="19">
        <f t="shared" si="28"/>
        <v>-0.342490308946776</v>
      </c>
      <c r="AW37" s="19">
        <v>5</v>
      </c>
      <c r="AX37" s="19">
        <v>0.06</v>
      </c>
      <c r="AY37" s="19">
        <f>AY17</f>
        <v>0.07013630879224819</v>
      </c>
      <c r="AZ37" s="19">
        <f>LN(AR37)</f>
        <v>1.6094379124341003</v>
      </c>
      <c r="BA37" s="19">
        <f>LN(AX37)</f>
        <v>-2.8134107167600364</v>
      </c>
      <c r="BB37" s="19"/>
      <c r="BD37"/>
      <c r="BE37"/>
      <c r="BF37"/>
      <c r="BG37"/>
      <c r="BH37"/>
      <c r="BI37"/>
      <c r="BJ37"/>
    </row>
    <row r="38" spans="1:54" ht="12.75">
      <c r="A38">
        <f>A37+1</f>
        <v>6</v>
      </c>
      <c r="B38">
        <f t="shared" si="10"/>
        <v>1.3598495589708444</v>
      </c>
      <c r="C38">
        <f t="shared" si="11"/>
        <v>0.08693876788255817</v>
      </c>
      <c r="E38">
        <f t="shared" si="12"/>
        <v>1.3598495589708444</v>
      </c>
      <c r="F38">
        <f t="shared" si="1"/>
        <v>1.3598495589708444</v>
      </c>
      <c r="G38">
        <f>G37+1</f>
        <v>6</v>
      </c>
      <c r="H38">
        <f t="shared" si="2"/>
        <v>0.24305756733031553</v>
      </c>
      <c r="I38">
        <f t="shared" si="13"/>
        <v>0.9942553942200287</v>
      </c>
      <c r="J38">
        <f t="shared" si="3"/>
        <v>5.842885999484418</v>
      </c>
      <c r="K38">
        <f t="shared" si="4"/>
        <v>41.99920030154318</v>
      </c>
      <c r="L38">
        <f t="shared" si="5"/>
        <v>0.325974724212966</v>
      </c>
      <c r="M38">
        <f t="shared" si="6"/>
        <v>0.7017618099868177</v>
      </c>
      <c r="N38">
        <f t="shared" si="7"/>
        <v>0.9379332299977072</v>
      </c>
      <c r="R38">
        <f t="shared" si="14"/>
        <v>1.3598495589708444</v>
      </c>
      <c r="S38" s="2">
        <f t="shared" si="15"/>
        <v>0.08693876788255817</v>
      </c>
      <c r="T38" s="2">
        <f t="shared" si="8"/>
        <v>0.24305756733031553</v>
      </c>
      <c r="V38">
        <f t="shared" si="9"/>
        <v>0.08693876788255817</v>
      </c>
      <c r="W38">
        <f t="shared" si="16"/>
        <v>0.08693876788255817</v>
      </c>
      <c r="X38">
        <f t="shared" si="17"/>
        <v>0.08693876788255817</v>
      </c>
      <c r="AC38">
        <f t="shared" si="18"/>
        <v>0.08693876788255817</v>
      </c>
      <c r="AD38">
        <f t="shared" si="19"/>
        <v>1.791759469228055</v>
      </c>
      <c r="AE38">
        <f t="shared" si="20"/>
        <v>-2.4425512255651847</v>
      </c>
      <c r="AF38">
        <f t="shared" si="21"/>
        <v>0.325974724212966</v>
      </c>
      <c r="AG38">
        <f t="shared" si="22"/>
        <v>0.7017618099868177</v>
      </c>
      <c r="AH38">
        <f t="shared" si="23"/>
        <v>0.9379332299977072</v>
      </c>
      <c r="AL38">
        <f t="shared" si="24"/>
        <v>1.791759469228055</v>
      </c>
      <c r="AM38">
        <f t="shared" si="25"/>
        <v>-1.120935433710336</v>
      </c>
      <c r="AN38">
        <f t="shared" si="26"/>
        <v>-0.3541612345453583</v>
      </c>
      <c r="AO38">
        <f t="shared" si="27"/>
        <v>-0.06407651588088305</v>
      </c>
      <c r="AQ38" s="19"/>
      <c r="AR38" s="19">
        <v>10</v>
      </c>
      <c r="AS38" s="19">
        <v>0.64</v>
      </c>
      <c r="AT38" s="19">
        <f>AG42</f>
        <v>0.6129071491577918</v>
      </c>
      <c r="AU38" s="19">
        <f t="shared" si="28"/>
        <v>2.302585092994046</v>
      </c>
      <c r="AV38" s="19">
        <f t="shared" si="28"/>
        <v>-0.4462871026284195</v>
      </c>
      <c r="AW38" s="19">
        <v>10</v>
      </c>
      <c r="AX38" s="19">
        <v>0.13</v>
      </c>
      <c r="AY38" s="19">
        <f>AY18</f>
        <v>0.12924236339905038</v>
      </c>
      <c r="AZ38" s="19">
        <f>LN(AR38)</f>
        <v>2.302585092994046</v>
      </c>
      <c r="BA38" s="19">
        <f>LN(AX38)</f>
        <v>-2.0402208285265546</v>
      </c>
      <c r="BB38" s="19"/>
    </row>
    <row r="39" spans="1:54" ht="12.75">
      <c r="A39">
        <f aca="true" t="shared" si="29" ref="A39:A92">A38+1</f>
        <v>7</v>
      </c>
      <c r="B39">
        <f t="shared" si="10"/>
        <v>1.2777556244552208</v>
      </c>
      <c r="C39">
        <f t="shared" si="11"/>
        <v>0.10066780273859832</v>
      </c>
      <c r="E39">
        <f t="shared" si="12"/>
        <v>1.2777556244552208</v>
      </c>
      <c r="F39">
        <f t="shared" si="1"/>
        <v>1.2777556244552208</v>
      </c>
      <c r="G39">
        <f aca="true" t="shared" si="30" ref="G39:G92">G38+1</f>
        <v>7</v>
      </c>
      <c r="H39">
        <f t="shared" si="2"/>
        <v>0.32834699422451086</v>
      </c>
      <c r="I39">
        <f t="shared" si="13"/>
        <v>0.9951262200836626</v>
      </c>
      <c r="J39">
        <f t="shared" si="3"/>
        <v>5.848003533949098</v>
      </c>
      <c r="K39">
        <f t="shared" si="4"/>
        <v>42.03598560850469</v>
      </c>
      <c r="L39">
        <f t="shared" si="5"/>
        <v>0.31055138752999784</v>
      </c>
      <c r="M39">
        <f t="shared" si="6"/>
        <v>0.6758727571862112</v>
      </c>
      <c r="N39">
        <f t="shared" si="7"/>
        <v>0.9310115639684506</v>
      </c>
      <c r="R39">
        <f t="shared" si="14"/>
        <v>1.2777556244552208</v>
      </c>
      <c r="S39" s="2">
        <f t="shared" si="15"/>
        <v>0.10066780273859832</v>
      </c>
      <c r="T39" s="2">
        <f t="shared" si="8"/>
        <v>0.32834699422451086</v>
      </c>
      <c r="V39">
        <f t="shared" si="9"/>
        <v>0.10066780273859832</v>
      </c>
      <c r="W39">
        <f t="shared" si="16"/>
        <v>0.10066780273859832</v>
      </c>
      <c r="X39">
        <f t="shared" si="17"/>
        <v>0.10066780273859832</v>
      </c>
      <c r="AC39">
        <f t="shared" si="18"/>
        <v>0.10066780273859832</v>
      </c>
      <c r="AD39">
        <f t="shared" si="19"/>
        <v>1.9459101490553132</v>
      </c>
      <c r="AE39">
        <f t="shared" si="20"/>
        <v>-2.295929264856293</v>
      </c>
      <c r="AF39">
        <f t="shared" si="21"/>
        <v>0.31055138752999784</v>
      </c>
      <c r="AG39">
        <f t="shared" si="22"/>
        <v>0.6758727571862112</v>
      </c>
      <c r="AH39">
        <f t="shared" si="23"/>
        <v>0.9310115639684506</v>
      </c>
      <c r="AL39">
        <f t="shared" si="24"/>
        <v>1.9459101490553132</v>
      </c>
      <c r="AM39">
        <f t="shared" si="25"/>
        <v>-1.169405892010642</v>
      </c>
      <c r="AN39">
        <f t="shared" si="26"/>
        <v>-0.3917504496709577</v>
      </c>
      <c r="AO39">
        <f t="shared" si="27"/>
        <v>-0.07148358076346623</v>
      </c>
      <c r="AQ39" s="19"/>
      <c r="AR39" s="19">
        <v>20</v>
      </c>
      <c r="AS39" s="19">
        <v>0.49</v>
      </c>
      <c r="AT39" s="19">
        <f>AG52</f>
        <v>0.4894941992285479</v>
      </c>
      <c r="AU39" s="19">
        <f t="shared" si="28"/>
        <v>2.995732273553991</v>
      </c>
      <c r="AV39" s="19">
        <f t="shared" si="28"/>
        <v>-0.7133498878774648</v>
      </c>
      <c r="AW39" s="19">
        <v>20</v>
      </c>
      <c r="AX39" s="19">
        <v>0.15</v>
      </c>
      <c r="AY39" s="19">
        <f>AY19</f>
        <v>0.16914138036129356</v>
      </c>
      <c r="AZ39" s="19">
        <f>LN(AR39)</f>
        <v>2.995732273553991</v>
      </c>
      <c r="BA39" s="19">
        <f>LN(AX39)</f>
        <v>-1.8971199848858813</v>
      </c>
      <c r="BB39" s="19"/>
    </row>
    <row r="40" spans="1:54" ht="12.75">
      <c r="A40">
        <f t="shared" si="29"/>
        <v>8</v>
      </c>
      <c r="B40">
        <f t="shared" si="10"/>
        <v>1.2161834236398508</v>
      </c>
      <c r="C40">
        <f t="shared" si="11"/>
        <v>0.11195752840861495</v>
      </c>
      <c r="E40">
        <f t="shared" si="12"/>
        <v>1.2161834236398508</v>
      </c>
      <c r="F40">
        <f t="shared" si="1"/>
        <v>1.2161834236398508</v>
      </c>
      <c r="G40">
        <f t="shared" si="30"/>
        <v>8</v>
      </c>
      <c r="H40">
        <f t="shared" si="2"/>
        <v>0.4173377832403043</v>
      </c>
      <c r="I40">
        <f t="shared" si="13"/>
        <v>0.9957000250002306</v>
      </c>
      <c r="J40">
        <f t="shared" si="3"/>
        <v>5.851375581747823</v>
      </c>
      <c r="K40">
        <f t="shared" si="4"/>
        <v>42.06022419726674</v>
      </c>
      <c r="L40">
        <f t="shared" si="5"/>
        <v>0.2988883843797782</v>
      </c>
      <c r="M40">
        <f t="shared" si="6"/>
        <v>0.6526993835631207</v>
      </c>
      <c r="N40">
        <f t="shared" si="7"/>
        <v>0.9240377986254147</v>
      </c>
      <c r="R40">
        <f t="shared" si="14"/>
        <v>1.2161834236398508</v>
      </c>
      <c r="S40" s="2">
        <f t="shared" si="15"/>
        <v>0.11195752840861495</v>
      </c>
      <c r="T40" s="2">
        <f t="shared" si="8"/>
        <v>0.4173377832403043</v>
      </c>
      <c r="V40">
        <f t="shared" si="9"/>
        <v>0.11195752840861495</v>
      </c>
      <c r="W40">
        <f t="shared" si="16"/>
        <v>0.11195752840861495</v>
      </c>
      <c r="X40">
        <f t="shared" si="17"/>
        <v>0.11195752840861495</v>
      </c>
      <c r="AC40">
        <f t="shared" si="18"/>
        <v>0.11195752840861495</v>
      </c>
      <c r="AD40">
        <f t="shared" si="19"/>
        <v>2.0794415416798357</v>
      </c>
      <c r="AE40">
        <f t="shared" si="20"/>
        <v>-2.189635690242945</v>
      </c>
      <c r="AF40">
        <f t="shared" si="21"/>
        <v>0.2988883843797782</v>
      </c>
      <c r="AG40">
        <f t="shared" si="22"/>
        <v>0.6526993835631207</v>
      </c>
      <c r="AH40">
        <f t="shared" si="23"/>
        <v>0.9240377986254147</v>
      </c>
      <c r="AL40">
        <f t="shared" si="24"/>
        <v>2.0794415416798357</v>
      </c>
      <c r="AM40">
        <f t="shared" si="25"/>
        <v>-1.2076850716725938</v>
      </c>
      <c r="AN40">
        <f t="shared" si="26"/>
        <v>-0.4266386177827768</v>
      </c>
      <c r="AO40">
        <f t="shared" si="27"/>
        <v>-0.07900230057388342</v>
      </c>
      <c r="AQ40" s="19"/>
      <c r="AR40" s="19">
        <v>49</v>
      </c>
      <c r="AS40" s="19">
        <v>0.52</v>
      </c>
      <c r="AT40" s="19">
        <f>AG81</f>
        <v>0.36027651656371334</v>
      </c>
      <c r="AU40" s="19">
        <f t="shared" si="28"/>
        <v>3.8918202981106265</v>
      </c>
      <c r="AV40" s="19">
        <f t="shared" si="28"/>
        <v>-0.6539264674066639</v>
      </c>
      <c r="AW40" s="19">
        <v>49</v>
      </c>
      <c r="AX40" s="19">
        <v>0.21</v>
      </c>
      <c r="AY40" s="19">
        <f>AY20</f>
        <v>0.19613274120490853</v>
      </c>
      <c r="AZ40" s="19">
        <f>LN(AR40)</f>
        <v>3.8918202981106265</v>
      </c>
      <c r="BA40" s="19">
        <f>LN(AX40)</f>
        <v>-1.5606477482646683</v>
      </c>
      <c r="BB40" s="19"/>
    </row>
    <row r="41" spans="1:54" ht="12.75">
      <c r="A41">
        <f t="shared" si="29"/>
        <v>9</v>
      </c>
      <c r="B41">
        <f t="shared" si="10"/>
        <v>1.1682928970827307</v>
      </c>
      <c r="C41">
        <f t="shared" si="11"/>
        <v>0.12134431973852444</v>
      </c>
      <c r="E41">
        <f t="shared" si="12"/>
        <v>1.1682928970827307</v>
      </c>
      <c r="F41">
        <f t="shared" si="1"/>
        <v>1.1682928970827307</v>
      </c>
      <c r="G41">
        <f t="shared" si="30"/>
        <v>9</v>
      </c>
      <c r="H41">
        <f t="shared" si="2"/>
        <v>0.5088694471407643</v>
      </c>
      <c r="I41">
        <f t="shared" si="13"/>
        <v>0.9961037430987822</v>
      </c>
      <c r="J41">
        <f t="shared" si="3"/>
        <v>5.853748089696464</v>
      </c>
      <c r="K41">
        <f t="shared" si="4"/>
        <v>42.077278001938055</v>
      </c>
      <c r="L41">
        <f t="shared" si="5"/>
        <v>0.28977460917529235</v>
      </c>
      <c r="M41">
        <f t="shared" si="6"/>
        <v>0.6318235565450602</v>
      </c>
      <c r="N41">
        <f t="shared" si="7"/>
        <v>0.917103981609182</v>
      </c>
      <c r="R41">
        <f t="shared" si="14"/>
        <v>1.1682928970827307</v>
      </c>
      <c r="S41" s="2">
        <f t="shared" si="15"/>
        <v>0.12134431973852444</v>
      </c>
      <c r="T41" s="2">
        <f t="shared" si="8"/>
        <v>0.5088694471407643</v>
      </c>
      <c r="V41">
        <f t="shared" si="9"/>
        <v>0.12134431973852444</v>
      </c>
      <c r="W41">
        <f t="shared" si="16"/>
        <v>0.12134431973852444</v>
      </c>
      <c r="X41">
        <f t="shared" si="17"/>
        <v>0.12134431973852444</v>
      </c>
      <c r="AC41">
        <f t="shared" si="18"/>
        <v>0.12134431973852444</v>
      </c>
      <c r="AD41">
        <f t="shared" si="19"/>
        <v>2.1972245773362196</v>
      </c>
      <c r="AE41">
        <f t="shared" si="20"/>
        <v>-2.109123156817134</v>
      </c>
      <c r="AF41">
        <f t="shared" si="21"/>
        <v>0.28977460917529235</v>
      </c>
      <c r="AG41">
        <f t="shared" si="22"/>
        <v>0.6318235565450602</v>
      </c>
      <c r="AH41">
        <f t="shared" si="23"/>
        <v>0.917103981609182</v>
      </c>
      <c r="AL41">
        <f t="shared" si="24"/>
        <v>2.1972245773362196</v>
      </c>
      <c r="AM41">
        <f t="shared" si="25"/>
        <v>-1.2386518679260625</v>
      </c>
      <c r="AN41">
        <f t="shared" si="26"/>
        <v>-0.45914510649588636</v>
      </c>
      <c r="AO41">
        <f t="shared" si="27"/>
        <v>-0.0865344199053653</v>
      </c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62" s="3" customFormat="1" ht="12.75">
      <c r="A42" s="3">
        <f t="shared" si="29"/>
        <v>10</v>
      </c>
      <c r="B42">
        <f t="shared" si="10"/>
        <v>1.1299798224864805</v>
      </c>
      <c r="C42">
        <f t="shared" si="11"/>
        <v>0.12924236339905038</v>
      </c>
      <c r="E42">
        <f t="shared" si="12"/>
        <v>1.1299798224864805</v>
      </c>
      <c r="F42">
        <f t="shared" si="1"/>
        <v>1.1299798224864805</v>
      </c>
      <c r="G42" s="3">
        <f t="shared" si="30"/>
        <v>10</v>
      </c>
      <c r="H42">
        <f t="shared" si="2"/>
        <v>0.6022118633777724</v>
      </c>
      <c r="I42">
        <f t="shared" si="13"/>
        <v>0.9964019031111105</v>
      </c>
      <c r="J42">
        <f t="shared" si="3"/>
        <v>5.855500270244607</v>
      </c>
      <c r="K42">
        <f t="shared" si="4"/>
        <v>42.08987283637646</v>
      </c>
      <c r="L42">
        <f t="shared" si="5"/>
        <v>0.28246281691980724</v>
      </c>
      <c r="M42">
        <f t="shared" si="6"/>
        <v>0.6129071491577918</v>
      </c>
      <c r="N42">
        <f t="shared" si="7"/>
        <v>0.9102514730528509</v>
      </c>
      <c r="R42">
        <f t="shared" si="14"/>
        <v>1.1299798224864805</v>
      </c>
      <c r="S42" s="3">
        <f t="shared" si="15"/>
        <v>0.12924236339905038</v>
      </c>
      <c r="T42" s="3">
        <f t="shared" si="8"/>
        <v>0.6022118633777724</v>
      </c>
      <c r="V42">
        <f t="shared" si="9"/>
        <v>0.12924236339905038</v>
      </c>
      <c r="W42">
        <f t="shared" si="16"/>
        <v>0.12924236339905038</v>
      </c>
      <c r="X42">
        <f t="shared" si="17"/>
        <v>0.12924236339905038</v>
      </c>
      <c r="Y42"/>
      <c r="Z42"/>
      <c r="AA42"/>
      <c r="AC42">
        <f t="shared" si="18"/>
        <v>0.12924236339905038</v>
      </c>
      <c r="AD42" s="3">
        <f t="shared" si="19"/>
        <v>2.302585092994046</v>
      </c>
      <c r="AE42" s="3">
        <f t="shared" si="20"/>
        <v>-2.0460658512923127</v>
      </c>
      <c r="AF42">
        <f t="shared" si="21"/>
        <v>0.28246281691980724</v>
      </c>
      <c r="AG42">
        <f t="shared" si="22"/>
        <v>0.6129071491577918</v>
      </c>
      <c r="AH42">
        <f t="shared" si="23"/>
        <v>0.9102514730528509</v>
      </c>
      <c r="AI42" s="3">
        <v>10</v>
      </c>
      <c r="AL42" s="3">
        <f t="shared" si="24"/>
        <v>2.302585092994046</v>
      </c>
      <c r="AM42" s="3">
        <f t="shared" si="25"/>
        <v>-1.2642083585813204</v>
      </c>
      <c r="AN42" s="3">
        <f t="shared" si="26"/>
        <v>-0.489541824081744</v>
      </c>
      <c r="AO42" s="3">
        <f t="shared" si="27"/>
        <v>-0.09403437363309353</v>
      </c>
      <c r="AQ42" s="19"/>
      <c r="AR42" s="19"/>
      <c r="AS42" s="19"/>
      <c r="AT42" s="19">
        <f>(AS36-AT36)^2</f>
        <v>0.0003104010633734566</v>
      </c>
      <c r="AU42" s="19">
        <f>(LN(AT36)-LN(AS36))^2</f>
        <v>0.0004630110871927163</v>
      </c>
      <c r="AV42" s="19"/>
      <c r="AW42" s="19"/>
      <c r="AX42" s="19"/>
      <c r="AY42" s="19">
        <f>(AX36-AY36)^2</f>
        <v>0.00019444489576511605</v>
      </c>
      <c r="AZ42" s="19">
        <f>(LN(AY36)-LN(AX36))^2</f>
        <v>1.4274049726368716</v>
      </c>
      <c r="BA42" s="19"/>
      <c r="BB42" s="19"/>
      <c r="BD42"/>
      <c r="BE42"/>
      <c r="BF42"/>
      <c r="BG42"/>
      <c r="BH42"/>
      <c r="BI42"/>
      <c r="BJ42"/>
    </row>
    <row r="43" spans="1:54" ht="12.75">
      <c r="A43">
        <f t="shared" si="29"/>
        <v>11</v>
      </c>
      <c r="B43">
        <f t="shared" si="10"/>
        <v>1.0986323294758313</v>
      </c>
      <c r="C43">
        <f t="shared" si="11"/>
        <v>0.13596423509056854</v>
      </c>
      <c r="E43">
        <f t="shared" si="12"/>
        <v>1.0986323294758313</v>
      </c>
      <c r="F43">
        <f t="shared" si="1"/>
        <v>1.0986323294758313</v>
      </c>
      <c r="G43">
        <f t="shared" si="30"/>
        <v>11</v>
      </c>
      <c r="H43">
        <f t="shared" si="2"/>
        <v>0.6968860715212599</v>
      </c>
      <c r="I43">
        <f t="shared" si="13"/>
        <v>0.9966304447639778</v>
      </c>
      <c r="J43">
        <f t="shared" si="3"/>
        <v>5.856843328408133</v>
      </c>
      <c r="K43">
        <f t="shared" si="4"/>
        <v>42.09952686160158</v>
      </c>
      <c r="L43">
        <f t="shared" si="5"/>
        <v>0.2764694638664332</v>
      </c>
      <c r="M43">
        <f t="shared" si="6"/>
        <v>0.5956768729179324</v>
      </c>
      <c r="N43">
        <f t="shared" si="7"/>
        <v>0.9034998126133441</v>
      </c>
      <c r="R43">
        <f t="shared" si="14"/>
        <v>1.0986323294758313</v>
      </c>
      <c r="S43" s="2">
        <f t="shared" si="15"/>
        <v>0.13596423509056854</v>
      </c>
      <c r="T43" s="2">
        <f t="shared" si="8"/>
        <v>0.6968860715212599</v>
      </c>
      <c r="V43">
        <f t="shared" si="9"/>
        <v>0.13596423509056854</v>
      </c>
      <c r="W43">
        <f t="shared" si="16"/>
        <v>0.13596423509056854</v>
      </c>
      <c r="X43">
        <f t="shared" si="17"/>
        <v>0.13596423509056854</v>
      </c>
      <c r="AC43">
        <f t="shared" si="18"/>
        <v>0.13596423509056854</v>
      </c>
      <c r="AD43">
        <f t="shared" si="19"/>
        <v>2.3978952727983707</v>
      </c>
      <c r="AE43">
        <f t="shared" si="20"/>
        <v>-1.9953634051059035</v>
      </c>
      <c r="AF43">
        <f t="shared" si="21"/>
        <v>0.2764694638664332</v>
      </c>
      <c r="AG43">
        <f t="shared" si="22"/>
        <v>0.5956768729179324</v>
      </c>
      <c r="AH43">
        <f t="shared" si="23"/>
        <v>0.9034998126133441</v>
      </c>
      <c r="AL43">
        <f t="shared" si="24"/>
        <v>2.3978952727983707</v>
      </c>
      <c r="AM43">
        <f t="shared" si="25"/>
        <v>-1.2856549022145656</v>
      </c>
      <c r="AN43">
        <f t="shared" si="26"/>
        <v>-0.5180569184720797</v>
      </c>
      <c r="AO43">
        <f t="shared" si="27"/>
        <v>-0.101479376350712</v>
      </c>
      <c r="AQ43" s="19"/>
      <c r="AR43" s="19"/>
      <c r="AS43" s="19"/>
      <c r="AT43" s="19">
        <f>(AS37-AT37)^2</f>
        <v>0.0004352341868326735</v>
      </c>
      <c r="AU43" s="19">
        <f>(LN(AT37)-LN(AS37))^2</f>
        <v>0.0008386847743346739</v>
      </c>
      <c r="AV43" s="19"/>
      <c r="AW43" s="19"/>
      <c r="AX43" s="19"/>
      <c r="AY43" s="19">
        <f>(AX37-AY37)^2</f>
        <v>0.00010274475593180805</v>
      </c>
      <c r="AZ43" s="19">
        <f>(LN(AY37)-LN(AX37))^2</f>
        <v>0.024365978329863203</v>
      </c>
      <c r="BA43" s="19"/>
      <c r="BB43" s="19"/>
    </row>
    <row r="44" spans="1:54" ht="12.75">
      <c r="A44">
        <f t="shared" si="29"/>
        <v>12</v>
      </c>
      <c r="B44">
        <f t="shared" si="10"/>
        <v>1.0725091216435658</v>
      </c>
      <c r="C44">
        <f t="shared" si="11"/>
        <v>0.14174570956034882</v>
      </c>
      <c r="E44">
        <f t="shared" si="12"/>
        <v>1.0725091216435658</v>
      </c>
      <c r="F44">
        <f t="shared" si="1"/>
        <v>1.0725091216435658</v>
      </c>
      <c r="G44">
        <f t="shared" si="30"/>
        <v>12</v>
      </c>
      <c r="H44">
        <f t="shared" si="2"/>
        <v>0.7925662666806608</v>
      </c>
      <c r="I44">
        <f t="shared" si="13"/>
        <v>0.9968108381461859</v>
      </c>
      <c r="J44">
        <f t="shared" si="3"/>
        <v>5.857903436277229</v>
      </c>
      <c r="K44">
        <f t="shared" si="4"/>
        <v>42.10714701416648</v>
      </c>
      <c r="L44">
        <f t="shared" si="5"/>
        <v>0.2714687747182398</v>
      </c>
      <c r="M44">
        <f t="shared" si="6"/>
        <v>0.5799097949487888</v>
      </c>
      <c r="N44">
        <f t="shared" si="7"/>
        <v>0.8968582022316111</v>
      </c>
      <c r="R44">
        <f t="shared" si="14"/>
        <v>1.0725091216435658</v>
      </c>
      <c r="S44" s="2">
        <f t="shared" si="15"/>
        <v>0.14174570956034882</v>
      </c>
      <c r="T44" s="2">
        <f t="shared" si="8"/>
        <v>0.7925662666806608</v>
      </c>
      <c r="V44">
        <f t="shared" si="9"/>
        <v>0.14174570956034882</v>
      </c>
      <c r="W44">
        <f t="shared" si="16"/>
        <v>0.14174570956034882</v>
      </c>
      <c r="X44">
        <f t="shared" si="17"/>
        <v>0.14174570956034882</v>
      </c>
      <c r="AC44">
        <f t="shared" si="18"/>
        <v>0.14174570956034882</v>
      </c>
      <c r="AD44">
        <f t="shared" si="19"/>
        <v>2.4849066497880004</v>
      </c>
      <c r="AE44">
        <f t="shared" si="20"/>
        <v>-1.9537206044842104</v>
      </c>
      <c r="AF44">
        <f t="shared" si="21"/>
        <v>0.2714687747182398</v>
      </c>
      <c r="AG44">
        <f t="shared" si="22"/>
        <v>0.5799097949487888</v>
      </c>
      <c r="AH44">
        <f t="shared" si="23"/>
        <v>0.8968582022316111</v>
      </c>
      <c r="AL44">
        <f t="shared" si="24"/>
        <v>2.4849066497880004</v>
      </c>
      <c r="AM44">
        <f t="shared" si="25"/>
        <v>-1.3039081564682262</v>
      </c>
      <c r="AN44">
        <f t="shared" si="26"/>
        <v>-0.5448827134874509</v>
      </c>
      <c r="AO44">
        <f t="shared" si="27"/>
        <v>-0.10885750942865476</v>
      </c>
      <c r="AQ44" s="19"/>
      <c r="AR44" s="19"/>
      <c r="AS44" s="19"/>
      <c r="AT44" s="19">
        <f>(AS38-AT38)^2</f>
        <v>0.0007340225667581442</v>
      </c>
      <c r="AU44" s="19">
        <f>(LN(AT38)-LN(AS38))^2</f>
        <v>0.0018709709280046942</v>
      </c>
      <c r="AV44" s="19"/>
      <c r="AW44" s="19"/>
      <c r="AX44" s="19"/>
      <c r="AY44" s="19">
        <f>(AX38-AY38)^2</f>
        <v>5.740132190985079E-07</v>
      </c>
      <c r="AZ44" s="19">
        <f>(LN(AY38)-LN(AX38))^2</f>
        <v>3.4164291132229835E-05</v>
      </c>
      <c r="BA44" s="19"/>
      <c r="BB44" s="19"/>
    </row>
    <row r="45" spans="1:54" ht="12.75">
      <c r="A45">
        <f t="shared" si="29"/>
        <v>13</v>
      </c>
      <c r="B45">
        <f t="shared" si="10"/>
        <v>1.050404657978584</v>
      </c>
      <c r="C45">
        <f t="shared" si="11"/>
        <v>0.14676605249572194</v>
      </c>
      <c r="E45">
        <f t="shared" si="12"/>
        <v>1.050404657978584</v>
      </c>
      <c r="F45">
        <f t="shared" si="1"/>
        <v>1.050404657978584</v>
      </c>
      <c r="G45">
        <f t="shared" si="30"/>
        <v>13</v>
      </c>
      <c r="H45">
        <f t="shared" si="2"/>
        <v>0.8890237869257932</v>
      </c>
      <c r="I45">
        <f t="shared" si="13"/>
        <v>0.9969566405419648</v>
      </c>
      <c r="J45">
        <f t="shared" si="3"/>
        <v>5.858760265198591</v>
      </c>
      <c r="K45">
        <f t="shared" si="4"/>
        <v>42.11330597901632</v>
      </c>
      <c r="L45">
        <f t="shared" si="5"/>
        <v>0.2672336528983792</v>
      </c>
      <c r="M45">
        <f t="shared" si="6"/>
        <v>0.5654220427732066</v>
      </c>
      <c r="N45">
        <f t="shared" si="7"/>
        <v>0.8903305796002751</v>
      </c>
      <c r="R45">
        <f t="shared" si="14"/>
        <v>1.050404657978584</v>
      </c>
      <c r="S45" s="2">
        <f t="shared" si="15"/>
        <v>0.14676605249572194</v>
      </c>
      <c r="T45" s="2">
        <f t="shared" si="8"/>
        <v>0.8890237869257932</v>
      </c>
      <c r="V45">
        <f t="shared" si="9"/>
        <v>0.14676605249572194</v>
      </c>
      <c r="W45">
        <f t="shared" si="16"/>
        <v>0.14676605249572194</v>
      </c>
      <c r="X45">
        <f t="shared" si="17"/>
        <v>0.14676605249572194</v>
      </c>
      <c r="AC45">
        <f t="shared" si="18"/>
        <v>0.14676605249572194</v>
      </c>
      <c r="AD45">
        <f t="shared" si="19"/>
        <v>2.5649493574615367</v>
      </c>
      <c r="AE45">
        <f t="shared" si="20"/>
        <v>-1.9189154395732748</v>
      </c>
      <c r="AF45">
        <f t="shared" si="21"/>
        <v>0.2672336528983792</v>
      </c>
      <c r="AG45">
        <f t="shared" si="22"/>
        <v>0.5654220427732066</v>
      </c>
      <c r="AH45">
        <f t="shared" si="23"/>
        <v>0.8903305796002751</v>
      </c>
      <c r="AL45">
        <f t="shared" si="24"/>
        <v>2.5649493574615367</v>
      </c>
      <c r="AM45">
        <f t="shared" si="25"/>
        <v>-1.319631898774268</v>
      </c>
      <c r="AN45">
        <f t="shared" si="26"/>
        <v>-0.5701828483255189</v>
      </c>
      <c r="AO45">
        <f t="shared" si="27"/>
        <v>-0.11616244746875853</v>
      </c>
      <c r="AQ45" s="19"/>
      <c r="AR45" s="19"/>
      <c r="AS45" s="19"/>
      <c r="AT45" s="19">
        <f>(AS39-AT39)^2</f>
        <v>2.5583442040150873E-07</v>
      </c>
      <c r="AU45" s="19">
        <f>(LN(AT39)-LN(AS39))^2</f>
        <v>1.0666337138586376E-06</v>
      </c>
      <c r="AV45" s="19"/>
      <c r="AW45" s="19"/>
      <c r="AX45" s="19"/>
      <c r="AY45" s="19">
        <f>(AX39-AY39)^2</f>
        <v>0.0003663924421357149</v>
      </c>
      <c r="AZ45" s="19">
        <f>(LN(AY39)-LN(AX39))^2</f>
        <v>0.014423923836109484</v>
      </c>
      <c r="BA45" s="19"/>
      <c r="BB45" s="19"/>
    </row>
    <row r="46" spans="1:54" ht="12.75">
      <c r="A46">
        <f t="shared" si="29"/>
        <v>14</v>
      </c>
      <c r="B46">
        <f t="shared" si="10"/>
        <v>1.0314578209760026</v>
      </c>
      <c r="C46">
        <f t="shared" si="11"/>
        <v>0.15116308902663644</v>
      </c>
      <c r="E46">
        <f t="shared" si="12"/>
        <v>1.0314578209760026</v>
      </c>
      <c r="F46">
        <f t="shared" si="1"/>
        <v>1.0314578209760026</v>
      </c>
      <c r="G46">
        <f t="shared" si="30"/>
        <v>14</v>
      </c>
      <c r="H46">
        <f t="shared" si="2"/>
        <v>0.9860937572755311</v>
      </c>
      <c r="I46">
        <f t="shared" si="13"/>
        <v>0.9970768060245108</v>
      </c>
      <c r="J46">
        <f t="shared" si="3"/>
        <v>5.859466435081773</v>
      </c>
      <c r="K46">
        <f t="shared" si="4"/>
        <v>42.11838199288571</v>
      </c>
      <c r="L46">
        <f t="shared" si="5"/>
        <v>0.26360112879503145</v>
      </c>
      <c r="M46">
        <f t="shared" si="6"/>
        <v>0.5520603439461066</v>
      </c>
      <c r="N46">
        <f t="shared" si="7"/>
        <v>0.8839180525187833</v>
      </c>
      <c r="R46">
        <f t="shared" si="14"/>
        <v>1.0314578209760026</v>
      </c>
      <c r="S46" s="2">
        <f t="shared" si="15"/>
        <v>0.15116308902663644</v>
      </c>
      <c r="T46" s="2">
        <f t="shared" si="8"/>
        <v>0.9860937572755311</v>
      </c>
      <c r="V46">
        <f t="shared" si="9"/>
        <v>0.15116308902663644</v>
      </c>
      <c r="W46">
        <f t="shared" si="16"/>
        <v>0.15116308902663644</v>
      </c>
      <c r="X46">
        <f t="shared" si="17"/>
        <v>0.15116308902663644</v>
      </c>
      <c r="AC46">
        <f t="shared" si="18"/>
        <v>0.15116308902663644</v>
      </c>
      <c r="AD46">
        <f t="shared" si="19"/>
        <v>2.6390573296152584</v>
      </c>
      <c r="AE46">
        <f t="shared" si="20"/>
        <v>-1.8893959652330927</v>
      </c>
      <c r="AF46">
        <f t="shared" si="21"/>
        <v>0.26360112879503145</v>
      </c>
      <c r="AG46">
        <f t="shared" si="22"/>
        <v>0.5520603439461066</v>
      </c>
      <c r="AH46">
        <f t="shared" si="23"/>
        <v>0.8839180525187833</v>
      </c>
      <c r="AL46">
        <f t="shared" si="24"/>
        <v>2.6390573296152584</v>
      </c>
      <c r="AM46">
        <f t="shared" si="25"/>
        <v>-1.3333181941359755</v>
      </c>
      <c r="AN46">
        <f t="shared" si="26"/>
        <v>-0.5940979199369534</v>
      </c>
      <c r="AO46">
        <f t="shared" si="27"/>
        <v>-0.12339092141208273</v>
      </c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ht="12.75">
      <c r="A47">
        <f t="shared" si="29"/>
        <v>15</v>
      </c>
      <c r="B47">
        <f t="shared" si="10"/>
        <v>1.0150371140227867</v>
      </c>
      <c r="C47">
        <f t="shared" si="11"/>
        <v>0.1550440681096199</v>
      </c>
      <c r="E47">
        <f t="shared" si="12"/>
        <v>1.0150371140227867</v>
      </c>
      <c r="F47">
        <f t="shared" si="1"/>
        <v>1.0150371140227867</v>
      </c>
      <c r="G47">
        <f t="shared" si="30"/>
        <v>15</v>
      </c>
      <c r="H47">
        <f t="shared" si="2"/>
        <v>1.0836544772128158</v>
      </c>
      <c r="I47">
        <f t="shared" si="13"/>
        <v>0.9971774719821286</v>
      </c>
      <c r="J47">
        <f t="shared" si="3"/>
        <v>5.8600580131791205</v>
      </c>
      <c r="K47">
        <f t="shared" si="4"/>
        <v>42.12263431049155</v>
      </c>
      <c r="L47">
        <f t="shared" si="5"/>
        <v>0.2604513032439828</v>
      </c>
      <c r="M47">
        <f t="shared" si="6"/>
        <v>0.5396956989044834</v>
      </c>
      <c r="N47">
        <f t="shared" si="7"/>
        <v>0.8776201470192879</v>
      </c>
      <c r="R47">
        <f t="shared" si="14"/>
        <v>1.0150371140227867</v>
      </c>
      <c r="S47" s="2">
        <f t="shared" si="15"/>
        <v>0.1550440681096199</v>
      </c>
      <c r="T47" s="2">
        <f t="shared" si="8"/>
        <v>1.0836544772128158</v>
      </c>
      <c r="V47">
        <f t="shared" si="9"/>
        <v>0.1550440681096199</v>
      </c>
      <c r="W47">
        <f t="shared" si="16"/>
        <v>0.1550440681096199</v>
      </c>
      <c r="X47">
        <f t="shared" si="17"/>
        <v>0.1550440681096199</v>
      </c>
      <c r="AC47">
        <f t="shared" si="18"/>
        <v>0.1550440681096199</v>
      </c>
      <c r="AD47">
        <f t="shared" si="19"/>
        <v>2.70805020110221</v>
      </c>
      <c r="AE47">
        <f t="shared" si="20"/>
        <v>-1.8640458920867844</v>
      </c>
      <c r="AF47">
        <f t="shared" si="21"/>
        <v>0.2604513032439828</v>
      </c>
      <c r="AG47">
        <f t="shared" si="22"/>
        <v>0.5396956989044834</v>
      </c>
      <c r="AH47">
        <f t="shared" si="23"/>
        <v>0.8776201470192879</v>
      </c>
      <c r="AL47">
        <f t="shared" si="24"/>
        <v>2.70805020110221</v>
      </c>
      <c r="AM47">
        <f t="shared" si="25"/>
        <v>-1.34533937098705</v>
      </c>
      <c r="AN47">
        <f t="shared" si="26"/>
        <v>-0.6167498188084484</v>
      </c>
      <c r="AO47">
        <f t="shared" si="27"/>
        <v>-0.13054141333465985</v>
      </c>
      <c r="AQ47" s="19"/>
      <c r="AR47" s="19"/>
      <c r="AS47" s="19"/>
      <c r="AT47" s="20">
        <f>SUM(AT42:AT45)</f>
        <v>0.0014799136513846756</v>
      </c>
      <c r="AU47" s="19">
        <f>SUM(AU42:AU45)</f>
        <v>0.003173733423245943</v>
      </c>
      <c r="AV47" s="19"/>
      <c r="AW47" s="19"/>
      <c r="AX47" s="19"/>
      <c r="AY47" s="19">
        <f>SUM(AY42:AY45)</f>
        <v>0.0006641561070517374</v>
      </c>
      <c r="AZ47" s="19">
        <f>SUM(AZ42:AZ45)</f>
        <v>1.4662290390939765</v>
      </c>
      <c r="BA47" s="19"/>
      <c r="BB47" s="19"/>
    </row>
    <row r="48" spans="1:54" ht="12.75">
      <c r="A48">
        <f t="shared" si="29"/>
        <v>16</v>
      </c>
      <c r="B48">
        <f t="shared" si="10"/>
        <v>1.0006689079283275</v>
      </c>
      <c r="C48">
        <f t="shared" si="11"/>
        <v>0.15849345192882525</v>
      </c>
      <c r="E48">
        <f t="shared" si="12"/>
        <v>1.0006689079283275</v>
      </c>
      <c r="F48">
        <f t="shared" si="1"/>
        <v>1.0006689079283275</v>
      </c>
      <c r="G48">
        <f t="shared" si="30"/>
        <v>16</v>
      </c>
      <c r="H48">
        <f t="shared" si="2"/>
        <v>1.1816142572327433</v>
      </c>
      <c r="I48">
        <f t="shared" si="13"/>
        <v>0.9972629782553357</v>
      </c>
      <c r="J48">
        <f t="shared" si="3"/>
        <v>5.860560503192747</v>
      </c>
      <c r="K48">
        <f t="shared" si="4"/>
        <v>42.12624625478306</v>
      </c>
      <c r="L48">
        <f t="shared" si="5"/>
        <v>0.2576940435613942</v>
      </c>
      <c r="M48">
        <f t="shared" si="6"/>
        <v>0.5282186011085411</v>
      </c>
      <c r="N48">
        <f t="shared" si="7"/>
        <v>0.8714354828976025</v>
      </c>
      <c r="R48">
        <f t="shared" si="14"/>
        <v>1.0006689079283275</v>
      </c>
      <c r="S48" s="2">
        <f t="shared" si="15"/>
        <v>0.15849345192882525</v>
      </c>
      <c r="T48" s="2">
        <f t="shared" si="8"/>
        <v>1.1816142572327433</v>
      </c>
      <c r="V48">
        <f t="shared" si="9"/>
        <v>0.15849345192882525</v>
      </c>
      <c r="W48">
        <f t="shared" si="16"/>
        <v>0.15849345192882525</v>
      </c>
      <c r="X48">
        <f t="shared" si="17"/>
        <v>0.15849345192882525</v>
      </c>
      <c r="AC48">
        <f t="shared" si="18"/>
        <v>0.15849345192882525</v>
      </c>
      <c r="AD48">
        <f t="shared" si="19"/>
        <v>2.772588722239781</v>
      </c>
      <c r="AE48">
        <f t="shared" si="20"/>
        <v>-1.8420419992700883</v>
      </c>
      <c r="AF48">
        <f t="shared" si="21"/>
        <v>0.2576940435613942</v>
      </c>
      <c r="AG48">
        <f t="shared" si="22"/>
        <v>0.5282186011085411</v>
      </c>
      <c r="AH48">
        <f t="shared" si="23"/>
        <v>0.8714354828976025</v>
      </c>
      <c r="AL48">
        <f t="shared" si="24"/>
        <v>2.772588722239781</v>
      </c>
      <c r="AM48">
        <f t="shared" si="25"/>
        <v>-1.3559822754388544</v>
      </c>
      <c r="AN48">
        <f t="shared" si="26"/>
        <v>-0.6382450637063445</v>
      </c>
      <c r="AO48">
        <f t="shared" si="27"/>
        <v>-0.13761344671352937</v>
      </c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</row>
    <row r="49" spans="1:54" ht="12.75">
      <c r="A49">
        <f t="shared" si="29"/>
        <v>17</v>
      </c>
      <c r="B49">
        <f t="shared" si="10"/>
        <v>0.9879910111927419</v>
      </c>
      <c r="C49">
        <f t="shared" si="11"/>
        <v>0.1615785252357902</v>
      </c>
      <c r="E49">
        <f t="shared" si="12"/>
        <v>0.9879910111927419</v>
      </c>
      <c r="F49">
        <f t="shared" si="1"/>
        <v>0.9879910111927419</v>
      </c>
      <c r="G49">
        <f t="shared" si="30"/>
        <v>17</v>
      </c>
      <c r="H49">
        <f t="shared" si="2"/>
        <v>1.2799027636796327</v>
      </c>
      <c r="I49">
        <f t="shared" si="13"/>
        <v>0.9973364760305572</v>
      </c>
      <c r="J49">
        <f t="shared" si="3"/>
        <v>5.860992423526628</v>
      </c>
      <c r="K49">
        <f t="shared" si="4"/>
        <v>42.129350937746004</v>
      </c>
      <c r="L49">
        <f t="shared" si="5"/>
        <v>0.2552603081225523</v>
      </c>
      <c r="M49">
        <f t="shared" si="6"/>
        <v>0.5175353776907239</v>
      </c>
      <c r="N49">
        <f t="shared" si="7"/>
        <v>0.8653621560055214</v>
      </c>
      <c r="R49">
        <f t="shared" si="14"/>
        <v>0.9879910111927419</v>
      </c>
      <c r="S49" s="2">
        <f t="shared" si="15"/>
        <v>0.1615785252357902</v>
      </c>
      <c r="T49" s="2">
        <f t="shared" si="8"/>
        <v>1.2799027636796327</v>
      </c>
      <c r="V49">
        <f t="shared" si="9"/>
        <v>0.1615785252357902</v>
      </c>
      <c r="W49">
        <f t="shared" si="16"/>
        <v>0.1615785252357902</v>
      </c>
      <c r="X49">
        <f t="shared" si="17"/>
        <v>0.1615785252357902</v>
      </c>
      <c r="AC49">
        <f t="shared" si="18"/>
        <v>0.1615785252357902</v>
      </c>
      <c r="AD49">
        <f t="shared" si="19"/>
        <v>2.833213344056216</v>
      </c>
      <c r="AE49">
        <f t="shared" si="20"/>
        <v>-1.8227640301179742</v>
      </c>
      <c r="AF49">
        <f t="shared" si="21"/>
        <v>0.2552603081225523</v>
      </c>
      <c r="AG49">
        <f t="shared" si="22"/>
        <v>0.5175353776907239</v>
      </c>
      <c r="AH49">
        <f t="shared" si="23"/>
        <v>0.8653621560055214</v>
      </c>
      <c r="AL49">
        <f t="shared" si="24"/>
        <v>2.833213344056216</v>
      </c>
      <c r="AM49">
        <f t="shared" si="25"/>
        <v>-1.365471438335348</v>
      </c>
      <c r="AN49">
        <f t="shared" si="26"/>
        <v>-0.6586773934918457</v>
      </c>
      <c r="AO49">
        <f t="shared" si="27"/>
        <v>-0.14460718220818053</v>
      </c>
      <c r="AQ49" s="19"/>
      <c r="AR49" s="19"/>
      <c r="AS49" s="19"/>
      <c r="AT49" s="20">
        <f>AT47+AY47</f>
        <v>0.002144069758436413</v>
      </c>
      <c r="AU49" s="19"/>
      <c r="AV49" s="19" t="s">
        <v>54</v>
      </c>
      <c r="AW49" s="19"/>
      <c r="AX49" s="19"/>
      <c r="AY49" s="19"/>
      <c r="AZ49" s="19"/>
      <c r="BA49" s="19"/>
      <c r="BB49" s="19"/>
    </row>
    <row r="50" spans="1:54" ht="12.75">
      <c r="A50">
        <f t="shared" si="29"/>
        <v>18</v>
      </c>
      <c r="B50">
        <f t="shared" si="10"/>
        <v>0.9767217162658877</v>
      </c>
      <c r="C50">
        <f t="shared" si="11"/>
        <v>0.1643534705299019</v>
      </c>
      <c r="E50">
        <f t="shared" si="12"/>
        <v>0.9767217162658877</v>
      </c>
      <c r="F50">
        <f t="shared" si="1"/>
        <v>0.9767217162658877</v>
      </c>
      <c r="G50">
        <f t="shared" si="30"/>
        <v>18</v>
      </c>
      <c r="H50">
        <f t="shared" si="2"/>
        <v>1.37846517850089</v>
      </c>
      <c r="I50">
        <f t="shared" si="13"/>
        <v>0.9974003062073278</v>
      </c>
      <c r="J50">
        <f t="shared" si="3"/>
        <v>5.86136753081633</v>
      </c>
      <c r="K50">
        <f t="shared" si="4"/>
        <v>42.132047243338164</v>
      </c>
      <c r="L50">
        <f t="shared" si="5"/>
        <v>0.2530963299991909</v>
      </c>
      <c r="M50">
        <f t="shared" si="6"/>
        <v>0.5075653497128725</v>
      </c>
      <c r="N50">
        <f t="shared" si="7"/>
        <v>0.8593979626942894</v>
      </c>
      <c r="R50">
        <f t="shared" si="14"/>
        <v>0.9767217162658877</v>
      </c>
      <c r="S50" s="2">
        <f t="shared" si="15"/>
        <v>0.1643534705299019</v>
      </c>
      <c r="T50" s="2">
        <f t="shared" si="8"/>
        <v>1.37846517850089</v>
      </c>
      <c r="V50">
        <f t="shared" si="9"/>
        <v>0.1643534705299019</v>
      </c>
      <c r="W50">
        <f t="shared" si="16"/>
        <v>0.1643534705299019</v>
      </c>
      <c r="X50">
        <f t="shared" si="17"/>
        <v>0.1643534705299019</v>
      </c>
      <c r="AC50">
        <f t="shared" si="18"/>
        <v>0.1643534705299019</v>
      </c>
      <c r="AD50">
        <f t="shared" si="19"/>
        <v>2.8903717578961645</v>
      </c>
      <c r="AE50">
        <f t="shared" si="20"/>
        <v>-1.8057358623933</v>
      </c>
      <c r="AF50">
        <f t="shared" si="21"/>
        <v>0.2530963299991909</v>
      </c>
      <c r="AG50">
        <f t="shared" si="22"/>
        <v>0.5075653497128725</v>
      </c>
      <c r="AH50">
        <f t="shared" si="23"/>
        <v>0.8593979626942894</v>
      </c>
      <c r="AL50">
        <f t="shared" si="24"/>
        <v>2.8903717578961645</v>
      </c>
      <c r="AM50">
        <f t="shared" si="25"/>
        <v>-1.3739851117369348</v>
      </c>
      <c r="AN50">
        <f t="shared" si="26"/>
        <v>-0.6781298084489321</v>
      </c>
      <c r="AO50">
        <f t="shared" si="27"/>
        <v>-0.15152317825809766</v>
      </c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4" ht="12.75">
      <c r="A51">
        <f t="shared" si="29"/>
        <v>19</v>
      </c>
      <c r="B51">
        <f t="shared" si="10"/>
        <v>0.9666386203210083</v>
      </c>
      <c r="C51">
        <f t="shared" si="11"/>
        <v>0.16686236049010783</v>
      </c>
      <c r="E51">
        <f t="shared" si="12"/>
        <v>0.9666386203210083</v>
      </c>
      <c r="F51">
        <f t="shared" si="1"/>
        <v>0.9666386203210083</v>
      </c>
      <c r="G51">
        <f t="shared" si="30"/>
        <v>19</v>
      </c>
      <c r="H51">
        <f t="shared" si="2"/>
        <v>1.4772581663752642</v>
      </c>
      <c r="I51">
        <f t="shared" si="13"/>
        <v>0.9974562425960345</v>
      </c>
      <c r="J51">
        <f t="shared" si="3"/>
        <v>5.861696249115809</v>
      </c>
      <c r="K51">
        <f t="shared" si="4"/>
        <v>42.13441010061517</v>
      </c>
      <c r="L51">
        <f t="shared" si="5"/>
        <v>0.251159620643582</v>
      </c>
      <c r="M51">
        <f t="shared" si="6"/>
        <v>0.4982386001841393</v>
      </c>
      <c r="N51">
        <f t="shared" si="7"/>
        <v>0.8535405356012994</v>
      </c>
      <c r="R51">
        <f t="shared" si="14"/>
        <v>0.9666386203210083</v>
      </c>
      <c r="S51" s="2">
        <f t="shared" si="15"/>
        <v>0.16686236049010783</v>
      </c>
      <c r="T51" s="2">
        <f t="shared" si="8"/>
        <v>1.4772581663752642</v>
      </c>
      <c r="V51">
        <f t="shared" si="9"/>
        <v>0.16686236049010783</v>
      </c>
      <c r="W51">
        <f t="shared" si="16"/>
        <v>0.16686236049010783</v>
      </c>
      <c r="X51">
        <f t="shared" si="17"/>
        <v>0.16686236049010783</v>
      </c>
      <c r="AC51">
        <f t="shared" si="18"/>
        <v>0.16686236049010783</v>
      </c>
      <c r="AD51">
        <f t="shared" si="19"/>
        <v>2.9444389791664403</v>
      </c>
      <c r="AE51">
        <f t="shared" si="20"/>
        <v>-1.7905859950775984</v>
      </c>
      <c r="AF51">
        <f t="shared" si="21"/>
        <v>0.251159620643582</v>
      </c>
      <c r="AG51">
        <f t="shared" si="22"/>
        <v>0.4982386001841393</v>
      </c>
      <c r="AH51">
        <f t="shared" si="23"/>
        <v>0.8535405356012994</v>
      </c>
      <c r="AL51">
        <f t="shared" si="24"/>
        <v>2.9444389791664403</v>
      </c>
      <c r="AM51">
        <f t="shared" si="25"/>
        <v>-1.3816666031547047</v>
      </c>
      <c r="AN51">
        <f t="shared" si="26"/>
        <v>-0.6966761998616864</v>
      </c>
      <c r="AO51">
        <f t="shared" si="27"/>
        <v>-0.1583622444936951</v>
      </c>
      <c r="AQ51" s="19"/>
      <c r="AR51" s="19" t="s">
        <v>51</v>
      </c>
      <c r="AS51" s="19" t="s">
        <v>46</v>
      </c>
      <c r="AT51" s="19" t="s">
        <v>60</v>
      </c>
      <c r="AU51" s="19"/>
      <c r="AV51" s="19"/>
      <c r="AW51" s="19"/>
      <c r="AX51" s="19"/>
      <c r="AY51" s="19"/>
      <c r="AZ51" s="19"/>
      <c r="BA51" s="19"/>
      <c r="BB51" s="19"/>
    </row>
    <row r="52" spans="1:62" s="3" customFormat="1" ht="12.75">
      <c r="A52" s="3">
        <f t="shared" si="29"/>
        <v>20</v>
      </c>
      <c r="B52">
        <f t="shared" si="10"/>
        <v>0.9575637995795718</v>
      </c>
      <c r="C52">
        <f t="shared" si="11"/>
        <v>0.16914138036129356</v>
      </c>
      <c r="E52">
        <f t="shared" si="12"/>
        <v>0.9575637995795718</v>
      </c>
      <c r="F52">
        <f t="shared" si="1"/>
        <v>0.9575637995795718</v>
      </c>
      <c r="G52" s="3">
        <f t="shared" si="30"/>
        <v>20</v>
      </c>
      <c r="H52">
        <f t="shared" si="2"/>
        <v>1.5762470317439519</v>
      </c>
      <c r="I52">
        <f t="shared" si="13"/>
        <v>0.9975056528927841</v>
      </c>
      <c r="J52">
        <f t="shared" si="3"/>
        <v>5.861986615889565</v>
      </c>
      <c r="K52">
        <f t="shared" si="4"/>
        <v>42.13649728360881</v>
      </c>
      <c r="L52">
        <f t="shared" si="5"/>
        <v>0.24941616362799174</v>
      </c>
      <c r="M52">
        <f t="shared" si="6"/>
        <v>0.4894941992285479</v>
      </c>
      <c r="N52">
        <f t="shared" si="7"/>
        <v>0.8477874277898222</v>
      </c>
      <c r="R52">
        <f t="shared" si="14"/>
        <v>0.9575637995795718</v>
      </c>
      <c r="S52" s="3">
        <f t="shared" si="15"/>
        <v>0.16914138036129356</v>
      </c>
      <c r="T52" s="3">
        <f t="shared" si="8"/>
        <v>1.5762470317439519</v>
      </c>
      <c r="V52">
        <f t="shared" si="9"/>
        <v>0.16914138036129356</v>
      </c>
      <c r="W52">
        <f t="shared" si="16"/>
        <v>0.16914138036129356</v>
      </c>
      <c r="X52">
        <f t="shared" si="17"/>
        <v>0.16914138036129356</v>
      </c>
      <c r="Y52"/>
      <c r="Z52"/>
      <c r="AA52"/>
      <c r="AC52">
        <f t="shared" si="18"/>
        <v>0.16914138036129356</v>
      </c>
      <c r="AD52" s="3">
        <f t="shared" si="19"/>
        <v>2.995732273553991</v>
      </c>
      <c r="AE52" s="3">
        <f t="shared" si="20"/>
        <v>-1.7770203436036964</v>
      </c>
      <c r="AF52">
        <f t="shared" si="21"/>
        <v>0.24941616362799174</v>
      </c>
      <c r="AG52">
        <f t="shared" si="22"/>
        <v>0.4894941992285479</v>
      </c>
      <c r="AH52">
        <f t="shared" si="23"/>
        <v>0.8477874277898222</v>
      </c>
      <c r="AI52" s="3">
        <v>20</v>
      </c>
      <c r="AL52" s="3">
        <f t="shared" si="24"/>
        <v>2.995732273553991</v>
      </c>
      <c r="AM52" s="3">
        <f t="shared" si="25"/>
        <v>-1.3886324377801804</v>
      </c>
      <c r="AN52" s="3">
        <f t="shared" si="26"/>
        <v>-0.7143826674831206</v>
      </c>
      <c r="AO52" s="3">
        <f t="shared" si="27"/>
        <v>-0.16512534939056037</v>
      </c>
      <c r="AQ52" s="19"/>
      <c r="AR52" s="19"/>
      <c r="AS52" s="19" t="s">
        <v>6</v>
      </c>
      <c r="AT52" s="19" t="s">
        <v>47</v>
      </c>
      <c r="AU52" s="19"/>
      <c r="AV52" s="19"/>
      <c r="AW52" s="19"/>
      <c r="AX52" s="19" t="s">
        <v>48</v>
      </c>
      <c r="AY52" s="19" t="s">
        <v>47</v>
      </c>
      <c r="AZ52" s="19"/>
      <c r="BA52" s="19"/>
      <c r="BB52" s="19"/>
      <c r="BD52"/>
      <c r="BE52"/>
      <c r="BF52"/>
      <c r="BG52"/>
      <c r="BH52"/>
      <c r="BI52"/>
      <c r="BJ52"/>
    </row>
    <row r="53" spans="1:54" ht="12.75">
      <c r="A53">
        <f t="shared" si="29"/>
        <v>21</v>
      </c>
      <c r="B53">
        <f t="shared" si="10"/>
        <v>0.9493532194057026</v>
      </c>
      <c r="C53">
        <f t="shared" si="11"/>
        <v>0.1712204972575535</v>
      </c>
      <c r="E53">
        <f t="shared" si="12"/>
        <v>0.9493532194057026</v>
      </c>
      <c r="F53">
        <f t="shared" si="1"/>
        <v>0.9493532194057026</v>
      </c>
      <c r="G53">
        <f t="shared" si="30"/>
        <v>21</v>
      </c>
      <c r="H53">
        <f t="shared" si="2"/>
        <v>1.6754036770861556</v>
      </c>
      <c r="I53">
        <f t="shared" si="13"/>
        <v>0.997549608009707</v>
      </c>
      <c r="J53">
        <f t="shared" si="3"/>
        <v>5.862244924508023</v>
      </c>
      <c r="K53">
        <f t="shared" si="4"/>
        <v>42.13835402964273</v>
      </c>
      <c r="L53">
        <f t="shared" si="5"/>
        <v>0.24783840533387302</v>
      </c>
      <c r="M53">
        <f t="shared" si="6"/>
        <v>0.48127877785465845</v>
      </c>
      <c r="N53">
        <f t="shared" si="7"/>
        <v>0.8421361658365378</v>
      </c>
      <c r="R53">
        <f t="shared" si="14"/>
        <v>0.9493532194057026</v>
      </c>
      <c r="S53" s="2">
        <f t="shared" si="15"/>
        <v>0.1712204972575535</v>
      </c>
      <c r="T53" s="2">
        <f t="shared" si="8"/>
        <v>1.6754036770861556</v>
      </c>
      <c r="V53">
        <f t="shared" si="9"/>
        <v>0.1712204972575535</v>
      </c>
      <c r="W53">
        <f t="shared" si="16"/>
        <v>0.1712204972575535</v>
      </c>
      <c r="X53">
        <f t="shared" si="17"/>
        <v>0.1712204972575535</v>
      </c>
      <c r="AC53">
        <f t="shared" si="18"/>
        <v>0.1712204972575535</v>
      </c>
      <c r="AD53">
        <f t="shared" si="19"/>
        <v>3.044522437723423</v>
      </c>
      <c r="AE53">
        <f t="shared" si="20"/>
        <v>-1.7648030954695062</v>
      </c>
      <c r="AF53">
        <f t="shared" si="21"/>
        <v>0.24783840533387302</v>
      </c>
      <c r="AG53">
        <f t="shared" si="22"/>
        <v>0.48127877785465845</v>
      </c>
      <c r="AH53">
        <f t="shared" si="23"/>
        <v>0.8421361658365378</v>
      </c>
      <c r="AL53">
        <f t="shared" si="24"/>
        <v>3.044522437723423</v>
      </c>
      <c r="AM53">
        <f t="shared" si="25"/>
        <v>-1.3949783365907624</v>
      </c>
      <c r="AN53">
        <f t="shared" si="26"/>
        <v>-0.7313085970284305</v>
      </c>
      <c r="AO53">
        <f t="shared" si="27"/>
        <v>-0.17181356066908646</v>
      </c>
      <c r="AQ53" s="19"/>
      <c r="AR53" s="19">
        <v>2</v>
      </c>
      <c r="AS53" s="19">
        <v>0.44</v>
      </c>
      <c r="AT53" s="19">
        <f>AF34</f>
        <v>0.49875170735701363</v>
      </c>
      <c r="AU53" s="19">
        <f aca="true" t="shared" si="31" ref="AU53:AV57">LN(AR53)</f>
        <v>0.6931471805599453</v>
      </c>
      <c r="AV53" s="19">
        <f t="shared" si="31"/>
        <v>-0.8209805520698302</v>
      </c>
      <c r="AW53" s="19">
        <v>2</v>
      </c>
      <c r="AX53" s="19">
        <v>0.03</v>
      </c>
      <c r="AY53" s="19">
        <f>AY36</f>
        <v>0.006055650041500105</v>
      </c>
      <c r="AZ53" s="19">
        <f>LN(AR53)</f>
        <v>0.6931471805599453</v>
      </c>
      <c r="BA53" s="19">
        <f>LN(AX53)</f>
        <v>-3.506557897319982</v>
      </c>
      <c r="BB53" s="19"/>
    </row>
    <row r="54" spans="1:54" ht="12.75">
      <c r="A54">
        <f t="shared" si="29"/>
        <v>22</v>
      </c>
      <c r="B54">
        <f t="shared" si="10"/>
        <v>0.9418890324671227</v>
      </c>
      <c r="C54">
        <f t="shared" si="11"/>
        <v>0.17312472791542022</v>
      </c>
      <c r="E54">
        <f t="shared" si="12"/>
        <v>0.9418890324671227</v>
      </c>
      <c r="F54">
        <f t="shared" si="1"/>
        <v>0.9418890324671227</v>
      </c>
      <c r="G54">
        <f t="shared" si="30"/>
        <v>22</v>
      </c>
      <c r="H54">
        <f t="shared" si="2"/>
        <v>1.774705111822943</v>
      </c>
      <c r="I54">
        <f t="shared" si="13"/>
        <v>0.9975889580392967</v>
      </c>
      <c r="J54">
        <f t="shared" si="3"/>
        <v>5.8624761706629895</v>
      </c>
      <c r="K54">
        <f t="shared" si="4"/>
        <v>42.140016248207715</v>
      </c>
      <c r="L54">
        <f t="shared" si="5"/>
        <v>0.2464037909034711</v>
      </c>
      <c r="M54">
        <f t="shared" si="6"/>
        <v>0.4735453709463011</v>
      </c>
      <c r="N54">
        <f t="shared" si="7"/>
        <v>0.8365842837311235</v>
      </c>
      <c r="R54">
        <f t="shared" si="14"/>
        <v>0.9418890324671227</v>
      </c>
      <c r="S54" s="2">
        <f t="shared" si="15"/>
        <v>0.17312472791542022</v>
      </c>
      <c r="T54" s="2">
        <f t="shared" si="8"/>
        <v>1.774705111822943</v>
      </c>
      <c r="V54">
        <f t="shared" si="9"/>
        <v>0.17312472791542022</v>
      </c>
      <c r="W54">
        <f t="shared" si="16"/>
        <v>0.17312472791542022</v>
      </c>
      <c r="X54">
        <f t="shared" si="17"/>
        <v>0.17312472791542022</v>
      </c>
      <c r="AC54">
        <f t="shared" si="18"/>
        <v>0.17312472791542022</v>
      </c>
      <c r="AD54">
        <f t="shared" si="19"/>
        <v>3.091042453358316</v>
      </c>
      <c r="AE54">
        <f t="shared" si="20"/>
        <v>-1.75374297364945</v>
      </c>
      <c r="AF54">
        <f t="shared" si="21"/>
        <v>0.2464037909034711</v>
      </c>
      <c r="AG54">
        <f t="shared" si="22"/>
        <v>0.4735453709463011</v>
      </c>
      <c r="AH54">
        <f t="shared" si="23"/>
        <v>0.8365842837311235</v>
      </c>
      <c r="AL54">
        <f t="shared" si="24"/>
        <v>3.091042453358316</v>
      </c>
      <c r="AM54">
        <f t="shared" si="25"/>
        <v>-1.4007836622809315</v>
      </c>
      <c r="AN54">
        <f t="shared" si="26"/>
        <v>-0.7475075505741468</v>
      </c>
      <c r="AO54">
        <f t="shared" si="27"/>
        <v>-0.1784280060324903</v>
      </c>
      <c r="AQ54" s="19"/>
      <c r="AR54" s="19">
        <v>5</v>
      </c>
      <c r="AS54" s="19">
        <v>0.31</v>
      </c>
      <c r="AT54" s="19">
        <f>AF37</f>
        <v>0.34723251652440784</v>
      </c>
      <c r="AU54" s="19">
        <f t="shared" si="31"/>
        <v>1.6094379124341003</v>
      </c>
      <c r="AV54" s="19">
        <f t="shared" si="31"/>
        <v>-1.171182981502945</v>
      </c>
      <c r="AW54" s="19">
        <v>5</v>
      </c>
      <c r="AX54" s="19">
        <v>0.09</v>
      </c>
      <c r="AY54" s="19">
        <f>AY37</f>
        <v>0.07013630879224819</v>
      </c>
      <c r="AZ54" s="19">
        <f>LN(AR54)</f>
        <v>1.6094379124341003</v>
      </c>
      <c r="BA54" s="19">
        <f>LN(AX54)</f>
        <v>-2.4079456086518722</v>
      </c>
      <c r="BB54" s="19"/>
    </row>
    <row r="55" spans="1:54" ht="12.75">
      <c r="A55">
        <f t="shared" si="29"/>
        <v>23</v>
      </c>
      <c r="B55">
        <f t="shared" si="10"/>
        <v>0.9350738860119114</v>
      </c>
      <c r="C55">
        <f t="shared" si="11"/>
        <v>0.17487511169478243</v>
      </c>
      <c r="E55">
        <f t="shared" si="12"/>
        <v>0.9350738860119114</v>
      </c>
      <c r="F55">
        <f t="shared" si="1"/>
        <v>0.9350738860119114</v>
      </c>
      <c r="G55">
        <f t="shared" si="30"/>
        <v>23</v>
      </c>
      <c r="H55">
        <f t="shared" si="2"/>
        <v>1.8741323466670299</v>
      </c>
      <c r="I55">
        <f t="shared" si="13"/>
        <v>0.9976243861162126</v>
      </c>
      <c r="J55">
        <f t="shared" si="3"/>
        <v>5.862684368894353</v>
      </c>
      <c r="K55">
        <f t="shared" si="4"/>
        <v>42.141512796184564</v>
      </c>
      <c r="L55">
        <f t="shared" si="5"/>
        <v>0.24509368053116917</v>
      </c>
      <c r="M55">
        <f t="shared" si="6"/>
        <v>0.46625247058992114</v>
      </c>
      <c r="N55">
        <f t="shared" si="7"/>
        <v>0.8311293446346961</v>
      </c>
      <c r="R55">
        <f t="shared" si="14"/>
        <v>0.9350738860119114</v>
      </c>
      <c r="S55" s="2">
        <f t="shared" si="15"/>
        <v>0.17487511169478243</v>
      </c>
      <c r="T55" s="2">
        <f t="shared" si="8"/>
        <v>1.8741323466670299</v>
      </c>
      <c r="V55">
        <f t="shared" si="9"/>
        <v>0.17487511169478243</v>
      </c>
      <c r="W55">
        <f t="shared" si="16"/>
        <v>0.17487511169478243</v>
      </c>
      <c r="X55">
        <f t="shared" si="17"/>
        <v>0.17487511169478243</v>
      </c>
      <c r="AC55">
        <f t="shared" si="18"/>
        <v>0.17487511169478243</v>
      </c>
      <c r="AD55">
        <f t="shared" si="19"/>
        <v>3.1354942159291497</v>
      </c>
      <c r="AE55">
        <f t="shared" si="20"/>
        <v>-1.7436832072845732</v>
      </c>
      <c r="AF55">
        <f t="shared" si="21"/>
        <v>0.24509368053116917</v>
      </c>
      <c r="AG55">
        <f t="shared" si="22"/>
        <v>0.46625247058992114</v>
      </c>
      <c r="AH55">
        <f t="shared" si="23"/>
        <v>0.8311293446346961</v>
      </c>
      <c r="AL55">
        <f t="shared" si="24"/>
        <v>3.1354942159291497</v>
      </c>
      <c r="AM55">
        <f t="shared" si="25"/>
        <v>-1.4061147720070273</v>
      </c>
      <c r="AN55">
        <f t="shared" si="26"/>
        <v>-0.7630280091857728</v>
      </c>
      <c r="AO55">
        <f t="shared" si="27"/>
        <v>-0.18496984685889772</v>
      </c>
      <c r="AQ55" s="19"/>
      <c r="AR55" s="19">
        <v>10</v>
      </c>
      <c r="AS55" s="19">
        <v>0.31</v>
      </c>
      <c r="AT55" s="19">
        <f>AF42</f>
        <v>0.28246281691980724</v>
      </c>
      <c r="AU55" s="19">
        <f t="shared" si="31"/>
        <v>2.302585092994046</v>
      </c>
      <c r="AV55" s="19">
        <f t="shared" si="31"/>
        <v>-1.171182981502945</v>
      </c>
      <c r="AW55" s="19">
        <v>10</v>
      </c>
      <c r="AX55" s="19">
        <v>0.08</v>
      </c>
      <c r="AY55" s="19">
        <f>AY38</f>
        <v>0.12924236339905038</v>
      </c>
      <c r="AZ55" s="19">
        <f>LN(AR55)</f>
        <v>2.302585092994046</v>
      </c>
      <c r="BA55" s="19">
        <f>LN(AX55)</f>
        <v>-2.5257286443082556</v>
      </c>
      <c r="BB55" s="19"/>
    </row>
    <row r="56" spans="1:54" ht="12.75">
      <c r="A56">
        <f t="shared" si="29"/>
        <v>24</v>
      </c>
      <c r="B56">
        <f t="shared" si="10"/>
        <v>0.9288266522856221</v>
      </c>
      <c r="C56">
        <f t="shared" si="11"/>
        <v>0.17648946486539963</v>
      </c>
      <c r="E56">
        <f t="shared" si="12"/>
        <v>0.9288266522856221</v>
      </c>
      <c r="F56">
        <f t="shared" si="1"/>
        <v>0.9288266522856221</v>
      </c>
      <c r="G56">
        <f t="shared" si="30"/>
        <v>24</v>
      </c>
      <c r="H56">
        <f t="shared" si="2"/>
        <v>1.973669562355016</v>
      </c>
      <c r="I56">
        <f t="shared" si="13"/>
        <v>0.9976564473072274</v>
      </c>
      <c r="J56">
        <f t="shared" si="3"/>
        <v>5.862872781132492</v>
      </c>
      <c r="K56">
        <f t="shared" si="4"/>
        <v>42.14286712062792</v>
      </c>
      <c r="L56">
        <f t="shared" si="5"/>
        <v>0.24389253573669498</v>
      </c>
      <c r="M56">
        <f t="shared" si="6"/>
        <v>0.459363245469469</v>
      </c>
      <c r="N56">
        <f t="shared" si="7"/>
        <v>0.8257689547975681</v>
      </c>
      <c r="R56">
        <f t="shared" si="14"/>
        <v>0.9288266522856221</v>
      </c>
      <c r="S56" s="2">
        <f t="shared" si="15"/>
        <v>0.17648946486539963</v>
      </c>
      <c r="T56" s="2">
        <f t="shared" si="8"/>
        <v>1.973669562355016</v>
      </c>
      <c r="V56">
        <f t="shared" si="9"/>
        <v>0.17648946486539963</v>
      </c>
      <c r="W56">
        <f t="shared" si="16"/>
        <v>0.17648946486539963</v>
      </c>
      <c r="X56">
        <f t="shared" si="17"/>
        <v>0.17648946486539963</v>
      </c>
      <c r="AC56">
        <f t="shared" si="18"/>
        <v>0.17648946486539963</v>
      </c>
      <c r="AD56">
        <f t="shared" si="19"/>
        <v>3.1780538303479458</v>
      </c>
      <c r="AE56">
        <f t="shared" si="20"/>
        <v>-1.7344940935381312</v>
      </c>
      <c r="AF56">
        <f t="shared" si="21"/>
        <v>0.24389253573669498</v>
      </c>
      <c r="AG56">
        <f t="shared" si="22"/>
        <v>0.459363245469469</v>
      </c>
      <c r="AH56">
        <f t="shared" si="23"/>
        <v>0.8257689547975681</v>
      </c>
      <c r="AL56">
        <f t="shared" si="24"/>
        <v>3.1780538303479458</v>
      </c>
      <c r="AM56">
        <f t="shared" si="25"/>
        <v>-1.4110275780141563</v>
      </c>
      <c r="AN56">
        <f t="shared" si="26"/>
        <v>-0.7779139974360897</v>
      </c>
      <c r="AO56">
        <f t="shared" si="27"/>
        <v>-0.1914402603303466</v>
      </c>
      <c r="AQ56" s="19"/>
      <c r="AR56" s="19">
        <v>20</v>
      </c>
      <c r="AS56" s="19">
        <v>0.23</v>
      </c>
      <c r="AT56" s="19">
        <f>AF52</f>
        <v>0.24941616362799174</v>
      </c>
      <c r="AU56" s="19">
        <f t="shared" si="31"/>
        <v>2.995732273553991</v>
      </c>
      <c r="AV56" s="19">
        <f t="shared" si="31"/>
        <v>-1.4696759700589417</v>
      </c>
      <c r="AW56" s="19">
        <v>20</v>
      </c>
      <c r="AX56" s="19">
        <v>0.09</v>
      </c>
      <c r="AY56" s="19">
        <f>AY39</f>
        <v>0.16914138036129356</v>
      </c>
      <c r="AZ56" s="19">
        <f>LN(AR56)</f>
        <v>2.995732273553991</v>
      </c>
      <c r="BA56" s="19">
        <f>LN(AX56)</f>
        <v>-2.4079456086518722</v>
      </c>
      <c r="BB56" s="19"/>
    </row>
    <row r="57" spans="1:54" ht="12.75">
      <c r="A57">
        <f t="shared" si="29"/>
        <v>25</v>
      </c>
      <c r="B57">
        <f t="shared" si="10"/>
        <v>0.9230791836203316</v>
      </c>
      <c r="C57">
        <f t="shared" si="11"/>
        <v>0.1779829708908689</v>
      </c>
      <c r="E57">
        <f t="shared" si="12"/>
        <v>0.9230791836203316</v>
      </c>
      <c r="F57">
        <f t="shared" si="1"/>
        <v>0.9230791836203316</v>
      </c>
      <c r="G57">
        <f t="shared" si="30"/>
        <v>25</v>
      </c>
      <c r="H57">
        <f t="shared" si="2"/>
        <v>2.073303476716086</v>
      </c>
      <c r="I57">
        <f t="shared" si="13"/>
        <v>0.9976855971541287</v>
      </c>
      <c r="J57">
        <f t="shared" si="3"/>
        <v>5.86304408443478</v>
      </c>
      <c r="K57">
        <f t="shared" si="4"/>
        <v>42.144098464471654</v>
      </c>
      <c r="L57">
        <f t="shared" si="5"/>
        <v>0.2427873003552346</v>
      </c>
      <c r="M57">
        <f t="shared" si="6"/>
        <v>0.4528448926335312</v>
      </c>
      <c r="N57">
        <f t="shared" si="7"/>
        <v>0.8205007723248671</v>
      </c>
      <c r="R57">
        <f t="shared" si="14"/>
        <v>0.9230791836203316</v>
      </c>
      <c r="S57" s="2">
        <f t="shared" si="15"/>
        <v>0.1779829708908689</v>
      </c>
      <c r="T57" s="2">
        <f t="shared" si="8"/>
        <v>2.073303476716086</v>
      </c>
      <c r="V57">
        <f t="shared" si="9"/>
        <v>0.1779829708908689</v>
      </c>
      <c r="W57">
        <f t="shared" si="16"/>
        <v>0.1779829708908689</v>
      </c>
      <c r="X57">
        <f t="shared" si="17"/>
        <v>0.1779829708908689</v>
      </c>
      <c r="AC57">
        <f t="shared" si="18"/>
        <v>0.1779829708908689</v>
      </c>
      <c r="AD57">
        <f t="shared" si="19"/>
        <v>3.2188758248682006</v>
      </c>
      <c r="AE57">
        <f t="shared" si="20"/>
        <v>-1.726067402419059</v>
      </c>
      <c r="AF57">
        <f t="shared" si="21"/>
        <v>0.2427873003552346</v>
      </c>
      <c r="AG57">
        <f t="shared" si="22"/>
        <v>0.4528448926335312</v>
      </c>
      <c r="AH57">
        <f t="shared" si="23"/>
        <v>0.8205007723248671</v>
      </c>
      <c r="AL57">
        <f t="shared" si="24"/>
        <v>3.2188758248682006</v>
      </c>
      <c r="AM57">
        <f t="shared" si="25"/>
        <v>-1.4155695261267123</v>
      </c>
      <c r="AN57">
        <f t="shared" si="26"/>
        <v>-0.7922056124989738</v>
      </c>
      <c r="AO57">
        <f t="shared" si="27"/>
        <v>-0.19784042716679515</v>
      </c>
      <c r="AQ57" s="19"/>
      <c r="AR57" s="19">
        <v>49</v>
      </c>
      <c r="AS57" s="19">
        <v>0.26</v>
      </c>
      <c r="AT57" s="19">
        <f>AF81</f>
        <v>0.229779848197893</v>
      </c>
      <c r="AU57" s="19">
        <f t="shared" si="31"/>
        <v>3.8918202981106265</v>
      </c>
      <c r="AV57" s="19">
        <f t="shared" si="31"/>
        <v>-1.3470736479666092</v>
      </c>
      <c r="AW57" s="19">
        <v>49</v>
      </c>
      <c r="AX57" s="19">
        <v>0.17</v>
      </c>
      <c r="AY57" s="19">
        <f>AY40</f>
        <v>0.19613274120490853</v>
      </c>
      <c r="AZ57" s="19">
        <f>LN(AR57)</f>
        <v>3.8918202981106265</v>
      </c>
      <c r="BA57" s="19">
        <f>LN(AX57)</f>
        <v>-1.7719568419318752</v>
      </c>
      <c r="BB57" s="19"/>
    </row>
    <row r="58" spans="1:54" ht="12.75">
      <c r="A58">
        <f t="shared" si="29"/>
        <v>26</v>
      </c>
      <c r="B58">
        <f t="shared" si="10"/>
        <v>0.9177738163296465</v>
      </c>
      <c r="C58">
        <f t="shared" si="11"/>
        <v>0.17936864649445927</v>
      </c>
      <c r="E58">
        <f t="shared" si="12"/>
        <v>0.9177738163296465</v>
      </c>
      <c r="F58">
        <f t="shared" si="1"/>
        <v>0.9177738163296465</v>
      </c>
      <c r="G58">
        <f t="shared" si="30"/>
        <v>26</v>
      </c>
      <c r="H58">
        <f t="shared" si="2"/>
        <v>2.1730228571338897</v>
      </c>
      <c r="I58">
        <f t="shared" si="13"/>
        <v>0.9977122129351127</v>
      </c>
      <c r="J58">
        <f t="shared" si="3"/>
        <v>5.863200495931244</v>
      </c>
      <c r="K58">
        <f t="shared" si="4"/>
        <v>42.14522276464968</v>
      </c>
      <c r="L58">
        <f t="shared" si="5"/>
        <v>0.24176692401480648</v>
      </c>
      <c r="M58">
        <f t="shared" si="6"/>
        <v>0.4466680956954757</v>
      </c>
      <c r="N58">
        <f t="shared" si="7"/>
        <v>0.8153225125074788</v>
      </c>
      <c r="R58">
        <f t="shared" si="14"/>
        <v>0.9177738163296465</v>
      </c>
      <c r="S58" s="2">
        <f t="shared" si="15"/>
        <v>0.17936864649445927</v>
      </c>
      <c r="T58" s="2">
        <f t="shared" si="8"/>
        <v>2.1730228571338897</v>
      </c>
      <c r="V58">
        <f t="shared" si="9"/>
        <v>0.17936864649445927</v>
      </c>
      <c r="W58">
        <f t="shared" si="16"/>
        <v>0.17936864649445927</v>
      </c>
      <c r="X58">
        <f t="shared" si="17"/>
        <v>0.17936864649445927</v>
      </c>
      <c r="AC58">
        <f t="shared" si="18"/>
        <v>0.17936864649445927</v>
      </c>
      <c r="AD58">
        <f t="shared" si="19"/>
        <v>3.258096538021482</v>
      </c>
      <c r="AE58">
        <f t="shared" si="20"/>
        <v>-1.7183121133355113</v>
      </c>
      <c r="AF58">
        <f t="shared" si="21"/>
        <v>0.24176692401480648</v>
      </c>
      <c r="AG58">
        <f t="shared" si="22"/>
        <v>0.4466680956954757</v>
      </c>
      <c r="AH58">
        <f t="shared" si="23"/>
        <v>0.8153225125074788</v>
      </c>
      <c r="AL58">
        <f t="shared" si="24"/>
        <v>3.258096538021482</v>
      </c>
      <c r="AM58">
        <f t="shared" si="25"/>
        <v>-1.4197811408330536</v>
      </c>
      <c r="AN58">
        <f t="shared" si="26"/>
        <v>-0.8059394753921783</v>
      </c>
      <c r="AO58">
        <f t="shared" si="27"/>
        <v>-0.2041715231500551</v>
      </c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ht="12.75">
      <c r="A59">
        <f t="shared" si="29"/>
        <v>27</v>
      </c>
      <c r="B59">
        <f t="shared" si="10"/>
        <v>0.9128614292796938</v>
      </c>
      <c r="C59">
        <f t="shared" si="11"/>
        <v>0.1806577127365846</v>
      </c>
      <c r="E59">
        <f t="shared" si="12"/>
        <v>0.9128614292796938</v>
      </c>
      <c r="F59">
        <f t="shared" si="1"/>
        <v>0.9128614292796938</v>
      </c>
      <c r="G59">
        <f t="shared" si="30"/>
        <v>27</v>
      </c>
      <c r="H59">
        <f t="shared" si="2"/>
        <v>2.272818140974615</v>
      </c>
      <c r="I59">
        <f t="shared" si="13"/>
        <v>0.9977366097170935</v>
      </c>
      <c r="J59">
        <f t="shared" si="3"/>
        <v>5.863343867158291</v>
      </c>
      <c r="K59">
        <f t="shared" si="4"/>
        <v>42.14625333017548</v>
      </c>
      <c r="L59">
        <f t="shared" si="5"/>
        <v>0.24082199127657858</v>
      </c>
      <c r="M59">
        <f t="shared" si="6"/>
        <v>0.4408065692905045</v>
      </c>
      <c r="N59">
        <f t="shared" si="7"/>
        <v>0.8102319508368135</v>
      </c>
      <c r="R59">
        <f t="shared" si="14"/>
        <v>0.9128614292796938</v>
      </c>
      <c r="S59" s="2">
        <f t="shared" si="15"/>
        <v>0.1806577127365846</v>
      </c>
      <c r="T59" s="2">
        <f t="shared" si="8"/>
        <v>2.272818140974615</v>
      </c>
      <c r="V59">
        <f t="shared" si="9"/>
        <v>0.1806577127365846</v>
      </c>
      <c r="W59">
        <f t="shared" si="16"/>
        <v>0.1806577127365846</v>
      </c>
      <c r="X59">
        <f t="shared" si="17"/>
        <v>0.1806577127365846</v>
      </c>
      <c r="AC59">
        <f t="shared" si="18"/>
        <v>0.1806577127365846</v>
      </c>
      <c r="AD59">
        <f t="shared" si="19"/>
        <v>3.295836866004329</v>
      </c>
      <c r="AE59">
        <f t="shared" si="20"/>
        <v>-1.711151127937372</v>
      </c>
      <c r="AF59">
        <f t="shared" si="21"/>
        <v>0.24082199127657858</v>
      </c>
      <c r="AG59">
        <f t="shared" si="22"/>
        <v>0.4408065692905045</v>
      </c>
      <c r="AH59">
        <f t="shared" si="23"/>
        <v>0.8102319508368135</v>
      </c>
      <c r="AL59">
        <f t="shared" si="24"/>
        <v>3.295836866004329</v>
      </c>
      <c r="AM59">
        <f t="shared" si="25"/>
        <v>-1.4236972438180144</v>
      </c>
      <c r="AN59">
        <f t="shared" si="26"/>
        <v>-0.8191491181453526</v>
      </c>
      <c r="AO59">
        <f t="shared" si="27"/>
        <v>-0.2104347132507875</v>
      </c>
      <c r="AQ59" s="19"/>
      <c r="AR59" s="19"/>
      <c r="AS59" s="19"/>
      <c r="AT59" s="19">
        <f>(AS53-AT53)^2</f>
        <v>0.0034517631173641692</v>
      </c>
      <c r="AU59" s="19">
        <f>(LN(AT53)-LN(AS53))^2</f>
        <v>0.01570852747156604</v>
      </c>
      <c r="AV59" s="19"/>
      <c r="AW59" s="19"/>
      <c r="AX59" s="19"/>
      <c r="AY59" s="19">
        <f>(AX53-AY53)^2</f>
        <v>0.0005733318949351139</v>
      </c>
      <c r="AZ59" s="19">
        <f>(LN(AY53)-LN(AX53))^2</f>
        <v>2.5606581359493608</v>
      </c>
      <c r="BA59" s="19"/>
      <c r="BB59" s="19"/>
    </row>
    <row r="60" spans="1:54" ht="12.75">
      <c r="A60">
        <f t="shared" si="29"/>
        <v>28</v>
      </c>
      <c r="B60">
        <f t="shared" si="10"/>
        <v>0.9082999184704783</v>
      </c>
      <c r="C60">
        <f t="shared" si="11"/>
        <v>0.1818598927942976</v>
      </c>
      <c r="E60">
        <f t="shared" si="12"/>
        <v>0.9082999184704783</v>
      </c>
      <c r="F60">
        <f t="shared" si="1"/>
        <v>0.9082999184704783</v>
      </c>
      <c r="G60">
        <f t="shared" si="30"/>
        <v>28</v>
      </c>
      <c r="H60">
        <f t="shared" si="2"/>
        <v>2.372681137147896</v>
      </c>
      <c r="I60">
        <f t="shared" si="13"/>
        <v>0.9977590526252715</v>
      </c>
      <c r="J60">
        <f t="shared" si="3"/>
        <v>5.863475756162608</v>
      </c>
      <c r="K60">
        <f t="shared" si="4"/>
        <v>42.14720136043149</v>
      </c>
      <c r="L60">
        <f t="shared" si="5"/>
        <v>0.23994443009420388</v>
      </c>
      <c r="M60">
        <f t="shared" si="6"/>
        <v>0.43523667394708554</v>
      </c>
      <c r="N60">
        <f t="shared" si="7"/>
        <v>0.8052269244444604</v>
      </c>
      <c r="R60">
        <f t="shared" si="14"/>
        <v>0.9082999184704783</v>
      </c>
      <c r="S60" s="2">
        <f t="shared" si="15"/>
        <v>0.1818598927942976</v>
      </c>
      <c r="T60" s="2">
        <f t="shared" si="8"/>
        <v>2.372681137147896</v>
      </c>
      <c r="V60">
        <f t="shared" si="9"/>
        <v>0.1818598927942976</v>
      </c>
      <c r="W60">
        <f t="shared" si="16"/>
        <v>0.1818598927942976</v>
      </c>
      <c r="X60">
        <f t="shared" si="17"/>
        <v>0.1818598927942976</v>
      </c>
      <c r="AC60">
        <f t="shared" si="18"/>
        <v>0.1818598927942976</v>
      </c>
      <c r="AD60">
        <f t="shared" si="19"/>
        <v>3.332204510175204</v>
      </c>
      <c r="AE60">
        <f t="shared" si="20"/>
        <v>-1.7045187081803232</v>
      </c>
      <c r="AF60">
        <f t="shared" si="21"/>
        <v>0.23994443009420388</v>
      </c>
      <c r="AG60">
        <f t="shared" si="22"/>
        <v>0.43523667394708554</v>
      </c>
      <c r="AH60">
        <f t="shared" si="23"/>
        <v>0.8052269244444604</v>
      </c>
      <c r="AL60">
        <f t="shared" si="24"/>
        <v>3.332204510175204</v>
      </c>
      <c r="AM60">
        <f t="shared" si="25"/>
        <v>-1.4273479237241156</v>
      </c>
      <c r="AN60">
        <f t="shared" si="26"/>
        <v>-0.831865317810968</v>
      </c>
      <c r="AO60">
        <f t="shared" si="27"/>
        <v>-0.21663114756831647</v>
      </c>
      <c r="AQ60" s="19"/>
      <c r="AR60" s="19"/>
      <c r="AS60" s="19"/>
      <c r="AT60" s="19">
        <f>(AS54-AT54)^2</f>
        <v>0.0013862602867403032</v>
      </c>
      <c r="AU60" s="19">
        <f>(LN(AT54)-LN(AS54))^2</f>
        <v>0.01286462596476918</v>
      </c>
      <c r="AV60" s="19"/>
      <c r="AW60" s="19"/>
      <c r="AX60" s="19"/>
      <c r="AY60" s="19">
        <f>(AX54-AY54)^2</f>
        <v>0.00039456622839691635</v>
      </c>
      <c r="AZ60" s="19">
        <f>(LN(AY54)-LN(AX54))^2</f>
        <v>0.06218492473864241</v>
      </c>
      <c r="BA60" s="19"/>
      <c r="BB60" s="19"/>
    </row>
    <row r="61" spans="1:54" ht="12.75">
      <c r="A61">
        <f t="shared" si="29"/>
        <v>29</v>
      </c>
      <c r="B61">
        <f t="shared" si="10"/>
        <v>0.9040529872136728</v>
      </c>
      <c r="C61">
        <f t="shared" si="11"/>
        <v>0.18298365269306083</v>
      </c>
      <c r="E61">
        <f t="shared" si="12"/>
        <v>0.9040529872136728</v>
      </c>
      <c r="F61">
        <f t="shared" si="1"/>
        <v>0.9040529872136728</v>
      </c>
      <c r="G61">
        <f t="shared" si="30"/>
        <v>29</v>
      </c>
      <c r="H61">
        <f t="shared" si="2"/>
        <v>2.4726047893103607</v>
      </c>
      <c r="I61">
        <f t="shared" si="13"/>
        <v>0.9977797663278294</v>
      </c>
      <c r="J61">
        <f t="shared" si="3"/>
        <v>5.86359748323935</v>
      </c>
      <c r="K61">
        <f t="shared" si="4"/>
        <v>42.14807634582033</v>
      </c>
      <c r="L61">
        <f t="shared" si="5"/>
        <v>0.23912728049124513</v>
      </c>
      <c r="M61">
        <f t="shared" si="6"/>
        <v>0.4299370888248601</v>
      </c>
      <c r="N61">
        <f t="shared" si="7"/>
        <v>0.800305332465331</v>
      </c>
      <c r="R61">
        <f t="shared" si="14"/>
        <v>0.9040529872136728</v>
      </c>
      <c r="S61" s="2">
        <f t="shared" si="15"/>
        <v>0.18298365269306083</v>
      </c>
      <c r="T61" s="2">
        <f t="shared" si="8"/>
        <v>2.4726047893103607</v>
      </c>
      <c r="V61">
        <f t="shared" si="9"/>
        <v>0.18298365269306083</v>
      </c>
      <c r="W61">
        <f t="shared" si="16"/>
        <v>0.18298365269306083</v>
      </c>
      <c r="X61">
        <f t="shared" si="17"/>
        <v>0.18298365269306083</v>
      </c>
      <c r="AC61">
        <f t="shared" si="18"/>
        <v>0.18298365269306083</v>
      </c>
      <c r="AD61">
        <f t="shared" si="19"/>
        <v>3.367295829986474</v>
      </c>
      <c r="AE61">
        <f t="shared" si="20"/>
        <v>-1.6983584596769534</v>
      </c>
      <c r="AF61">
        <f t="shared" si="21"/>
        <v>0.23912728049124513</v>
      </c>
      <c r="AG61">
        <f t="shared" si="22"/>
        <v>0.4299370888248601</v>
      </c>
      <c r="AH61">
        <f t="shared" si="23"/>
        <v>0.800305332465331</v>
      </c>
      <c r="AL61">
        <f t="shared" si="24"/>
        <v>3.367295829986474</v>
      </c>
      <c r="AM61">
        <f t="shared" si="25"/>
        <v>-1.4307593144506972</v>
      </c>
      <c r="AN61">
        <f t="shared" si="26"/>
        <v>-0.8441163860566229</v>
      </c>
      <c r="AO61">
        <f t="shared" si="27"/>
        <v>-0.22276195854832723</v>
      </c>
      <c r="AQ61" s="19"/>
      <c r="AR61" s="19"/>
      <c r="AS61" s="19"/>
      <c r="AT61" s="19">
        <f>(AS55-AT55)^2</f>
        <v>0.0007582964519920546</v>
      </c>
      <c r="AU61" s="19">
        <f>(LN(AT55)-LN(AS55))^2</f>
        <v>0.008653720780573918</v>
      </c>
      <c r="AV61" s="19"/>
      <c r="AW61" s="19"/>
      <c r="AX61" s="19"/>
      <c r="AY61" s="19">
        <f>(AX55-AY55)^2</f>
        <v>0.0024248103531241357</v>
      </c>
      <c r="AZ61" s="19">
        <f>(LN(AY55)-LN(AX55))^2</f>
        <v>0.23007639500385532</v>
      </c>
      <c r="BA61" s="19"/>
      <c r="BB61" s="19"/>
    </row>
    <row r="62" spans="1:54" ht="12.75">
      <c r="A62">
        <f t="shared" si="29"/>
        <v>30</v>
      </c>
      <c r="B62">
        <f t="shared" si="10"/>
        <v>0.9000891782693483</v>
      </c>
      <c r="C62">
        <f t="shared" si="11"/>
        <v>0.18403639727693122</v>
      </c>
      <c r="E62">
        <f t="shared" si="12"/>
        <v>0.9000891782693483</v>
      </c>
      <c r="F62">
        <f t="shared" si="1"/>
        <v>0.9000891782693483</v>
      </c>
      <c r="G62">
        <f t="shared" si="30"/>
        <v>30</v>
      </c>
      <c r="H62">
        <f t="shared" si="2"/>
        <v>2.5725829863837144</v>
      </c>
      <c r="I62">
        <f t="shared" si="13"/>
        <v>0.9977989424444136</v>
      </c>
      <c r="J62">
        <f t="shared" si="3"/>
        <v>5.863710174469154</v>
      </c>
      <c r="K62">
        <f t="shared" si="4"/>
        <v>42.148886380712874</v>
      </c>
      <c r="L62">
        <f t="shared" si="5"/>
        <v>0.2383645094346037</v>
      </c>
      <c r="M62">
        <f t="shared" si="6"/>
        <v>0.42488853230124873</v>
      </c>
      <c r="N62">
        <f t="shared" si="7"/>
        <v>0.7954651356643457</v>
      </c>
      <c r="R62">
        <f t="shared" si="14"/>
        <v>0.9000891782693483</v>
      </c>
      <c r="S62" s="2">
        <f t="shared" si="15"/>
        <v>0.18403639727693122</v>
      </c>
      <c r="T62" s="2">
        <f t="shared" si="8"/>
        <v>2.5725829863837144</v>
      </c>
      <c r="V62">
        <f t="shared" si="9"/>
        <v>0.18403639727693122</v>
      </c>
      <c r="W62">
        <f t="shared" si="16"/>
        <v>0.18403639727693122</v>
      </c>
      <c r="X62">
        <f t="shared" si="17"/>
        <v>0.18403639727693122</v>
      </c>
      <c r="AC62">
        <f t="shared" si="18"/>
        <v>0.18403639727693122</v>
      </c>
      <c r="AD62">
        <f t="shared" si="19"/>
        <v>3.4011973816621555</v>
      </c>
      <c r="AE62">
        <f t="shared" si="20"/>
        <v>-1.6926217296475548</v>
      </c>
      <c r="AF62">
        <f t="shared" si="21"/>
        <v>0.2383645094346037</v>
      </c>
      <c r="AG62">
        <f t="shared" si="22"/>
        <v>0.42488853230124873</v>
      </c>
      <c r="AH62">
        <f t="shared" si="23"/>
        <v>0.7954651356643457</v>
      </c>
      <c r="AL62">
        <f t="shared" si="24"/>
        <v>3.4011973816621555</v>
      </c>
      <c r="AM62">
        <f t="shared" si="25"/>
        <v>-1.4339542246944474</v>
      </c>
      <c r="AN62">
        <f t="shared" si="26"/>
        <v>-0.8559284213965698</v>
      </c>
      <c r="AO62">
        <f t="shared" si="27"/>
        <v>-0.22882825911086402</v>
      </c>
      <c r="AQ62" s="19"/>
      <c r="AR62" s="19"/>
      <c r="AS62" s="19"/>
      <c r="AT62" s="19">
        <f>(AS56-AT56)^2</f>
        <v>0.0003769874100289489</v>
      </c>
      <c r="AU62" s="19">
        <f>(LN(AT56)-LN(AS56))^2</f>
        <v>0.006568054124218619</v>
      </c>
      <c r="AV62" s="19"/>
      <c r="AW62" s="19"/>
      <c r="AX62" s="19"/>
      <c r="AY62" s="19">
        <f>(AX56-AY56)^2</f>
        <v>0.006263358085490943</v>
      </c>
      <c r="AZ62" s="19">
        <f>(LN(AY56)-LN(AX56))^2</f>
        <v>0.3980666900761109</v>
      </c>
      <c r="BA62" s="19"/>
      <c r="BB62" s="19"/>
    </row>
    <row r="63" spans="1:54" ht="12.75">
      <c r="A63">
        <f t="shared" si="29"/>
        <v>31</v>
      </c>
      <c r="B63">
        <f t="shared" si="10"/>
        <v>0.8963810933069576</v>
      </c>
      <c r="C63">
        <f t="shared" si="11"/>
        <v>0.1850246307871828</v>
      </c>
      <c r="E63">
        <f t="shared" si="12"/>
        <v>0.8963810933069576</v>
      </c>
      <c r="F63">
        <f t="shared" si="1"/>
        <v>0.8963810933069576</v>
      </c>
      <c r="G63">
        <f t="shared" si="30"/>
        <v>31</v>
      </c>
      <c r="H63">
        <f t="shared" si="2"/>
        <v>2.672610409735454</v>
      </c>
      <c r="I63">
        <f t="shared" si="13"/>
        <v>0.9978167453886548</v>
      </c>
      <c r="J63">
        <f t="shared" si="3"/>
        <v>5.863814796052564</v>
      </c>
      <c r="K63">
        <f t="shared" si="4"/>
        <v>42.149638410247235</v>
      </c>
      <c r="L63">
        <f t="shared" si="5"/>
        <v>0.23765086149135503</v>
      </c>
      <c r="M63">
        <f t="shared" si="6"/>
        <v>0.42007352235013085</v>
      </c>
      <c r="N63">
        <f t="shared" si="7"/>
        <v>0.7907043555613683</v>
      </c>
      <c r="R63">
        <f t="shared" si="14"/>
        <v>0.8963810933069576</v>
      </c>
      <c r="S63" s="2">
        <f t="shared" si="15"/>
        <v>0.1850246307871828</v>
      </c>
      <c r="T63" s="2">
        <f t="shared" si="8"/>
        <v>2.672610409735454</v>
      </c>
      <c r="V63">
        <f t="shared" si="9"/>
        <v>0.1850246307871828</v>
      </c>
      <c r="W63">
        <f t="shared" si="16"/>
        <v>0.1850246307871828</v>
      </c>
      <c r="X63">
        <f t="shared" si="17"/>
        <v>0.1850246307871828</v>
      </c>
      <c r="AC63">
        <f t="shared" si="18"/>
        <v>0.1850246307871828</v>
      </c>
      <c r="AD63">
        <f t="shared" si="19"/>
        <v>3.4339872044851463</v>
      </c>
      <c r="AE63">
        <f t="shared" si="20"/>
        <v>-1.687266323375897</v>
      </c>
      <c r="AF63">
        <f t="shared" si="21"/>
        <v>0.23765086149135503</v>
      </c>
      <c r="AG63">
        <f t="shared" si="22"/>
        <v>0.42007352235013085</v>
      </c>
      <c r="AH63">
        <f t="shared" si="23"/>
        <v>0.7907043555613683</v>
      </c>
      <c r="AL63">
        <f t="shared" si="24"/>
        <v>3.4339872044851463</v>
      </c>
      <c r="AM63">
        <f t="shared" si="25"/>
        <v>-1.4369526508861685</v>
      </c>
      <c r="AN63">
        <f t="shared" si="26"/>
        <v>-0.8673255298101519</v>
      </c>
      <c r="AO63">
        <f t="shared" si="27"/>
        <v>-0.23483114143254535</v>
      </c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ht="12.75">
      <c r="A64">
        <f t="shared" si="29"/>
        <v>32</v>
      </c>
      <c r="B64">
        <f t="shared" si="10"/>
        <v>0.8929047587142638</v>
      </c>
      <c r="C64">
        <f t="shared" si="11"/>
        <v>0.18595408925462076</v>
      </c>
      <c r="E64">
        <f t="shared" si="12"/>
        <v>0.8929047587142638</v>
      </c>
      <c r="F64">
        <f t="shared" si="1"/>
        <v>0.8929047587142638</v>
      </c>
      <c r="G64">
        <f t="shared" si="30"/>
        <v>32</v>
      </c>
      <c r="H64">
        <f t="shared" si="2"/>
        <v>2.7726824090204367</v>
      </c>
      <c r="I64">
        <f t="shared" si="13"/>
        <v>0.997833317016839</v>
      </c>
      <c r="J64">
        <f t="shared" si="3"/>
        <v>5.863912181628613</v>
      </c>
      <c r="K64">
        <f t="shared" si="4"/>
        <v>42.1503384266972</v>
      </c>
      <c r="L64">
        <f t="shared" si="5"/>
        <v>0.23698173745381249</v>
      </c>
      <c r="M64">
        <f t="shared" si="6"/>
        <v>0.41547617018914706</v>
      </c>
      <c r="N64">
        <f t="shared" si="7"/>
        <v>0.7860210732180373</v>
      </c>
      <c r="R64">
        <f t="shared" si="14"/>
        <v>0.8929047587142638</v>
      </c>
      <c r="S64" s="2">
        <f t="shared" si="15"/>
        <v>0.18595408925462076</v>
      </c>
      <c r="T64" s="2">
        <f t="shared" si="8"/>
        <v>2.7726824090204367</v>
      </c>
      <c r="V64">
        <f t="shared" si="9"/>
        <v>0.18595408925462076</v>
      </c>
      <c r="W64">
        <f t="shared" si="16"/>
        <v>0.18595408925462076</v>
      </c>
      <c r="X64">
        <f t="shared" si="17"/>
        <v>0.18595408925462076</v>
      </c>
      <c r="AC64">
        <f t="shared" si="18"/>
        <v>0.18595408925462076</v>
      </c>
      <c r="AD64">
        <f t="shared" si="19"/>
        <v>3.4657359027997265</v>
      </c>
      <c r="AE64">
        <f t="shared" si="20"/>
        <v>-1.6822554677013635</v>
      </c>
      <c r="AF64">
        <f t="shared" si="21"/>
        <v>0.23698173745381249</v>
      </c>
      <c r="AG64">
        <f t="shared" si="22"/>
        <v>0.41547617018914706</v>
      </c>
      <c r="AH64">
        <f t="shared" si="23"/>
        <v>0.7860210732180373</v>
      </c>
      <c r="AL64">
        <f t="shared" si="24"/>
        <v>3.4657359027997265</v>
      </c>
      <c r="AM64">
        <f t="shared" si="25"/>
        <v>-1.4397721979729705</v>
      </c>
      <c r="AN64">
        <f t="shared" si="26"/>
        <v>-0.8783300184633472</v>
      </c>
      <c r="AO64">
        <f t="shared" si="27"/>
        <v>-0.2407716762023601</v>
      </c>
      <c r="AQ64" s="19"/>
      <c r="AR64" s="19"/>
      <c r="AS64" s="19"/>
      <c r="AT64" s="19">
        <f>SUM(AT59:AT62)</f>
        <v>0.005973307266125476</v>
      </c>
      <c r="AU64" s="19">
        <f>SUM(AU59:AU62)</f>
        <v>0.043794928341127755</v>
      </c>
      <c r="AV64" s="19"/>
      <c r="AW64" s="19"/>
      <c r="AX64" s="19"/>
      <c r="AY64" s="19">
        <f>SUM(AY59:AY62)</f>
        <v>0.009656066561947108</v>
      </c>
      <c r="AZ64" s="19">
        <f>SUM(AZ59:AZ62)</f>
        <v>3.2509861457679694</v>
      </c>
      <c r="BA64" s="19"/>
      <c r="BB64" s="19"/>
    </row>
    <row r="65" spans="1:54" ht="12.75">
      <c r="A65">
        <f t="shared" si="29"/>
        <v>33</v>
      </c>
      <c r="B65">
        <f t="shared" si="10"/>
        <v>0.8896391067113527</v>
      </c>
      <c r="C65">
        <f t="shared" si="11"/>
        <v>0.18682985028976185</v>
      </c>
      <c r="E65">
        <f t="shared" si="12"/>
        <v>0.8896391067113527</v>
      </c>
      <c r="F65">
        <f aca="true" t="shared" si="32" ref="F65:F92">Min/(1+middle*A65)+sdd</f>
        <v>0.8896391067113527</v>
      </c>
      <c r="G65">
        <f t="shared" si="30"/>
        <v>33</v>
      </c>
      <c r="H65">
        <f aca="true" t="shared" si="33" ref="H65:H92">C65*knoise*G65</f>
        <v>2.872794900613583</v>
      </c>
      <c r="I65">
        <f aca="true" t="shared" si="34" ref="I65:I92">highcrit*(1-NORMDIST($B65,dprimec,SDC,TRUE))</f>
        <v>0.9978487803573102</v>
      </c>
      <c r="J65">
        <f aca="true" t="shared" si="35" ref="J65:J92">I65*MB</f>
        <v>5.864003054191206</v>
      </c>
      <c r="K65">
        <f aca="true" t="shared" si="36" ref="K65:K92">I65*MC</f>
        <v>42.150991627009276</v>
      </c>
      <c r="L65">
        <f aca="true" t="shared" si="37" ref="L65:L92">(I65+knoise*G65*C65)/(highcrit+knoise*G65)</f>
        <v>0.23635309500856153</v>
      </c>
      <c r="M65">
        <f aca="true" t="shared" si="38" ref="M65:M92">(J65+knoise*G65*C65)/(highcrit*MB+knoise*G65)</f>
        <v>0.41108200188028177</v>
      </c>
      <c r="N65">
        <f aca="true" t="shared" si="39" ref="N65:N92">(K65+knoise*G65*C65)/(highcrit*MC+knoise*G65)</f>
        <v>0.781413427801604</v>
      </c>
      <c r="R65">
        <f t="shared" si="14"/>
        <v>0.8896391067113527</v>
      </c>
      <c r="S65" s="2">
        <f t="shared" si="15"/>
        <v>0.18682985028976185</v>
      </c>
      <c r="T65" s="2">
        <f aca="true" t="shared" si="40" ref="T65:T92">(1-NORMDIST(R65,0,1,TRUE))*knoise*G65</f>
        <v>2.872794900613583</v>
      </c>
      <c r="V65">
        <f aca="true" t="shared" si="41" ref="V65:V92">1-NORMDIST(R65,dprimeb,1,TRUE)</f>
        <v>0.18682985028976185</v>
      </c>
      <c r="W65">
        <f t="shared" si="16"/>
        <v>0.18682985028976185</v>
      </c>
      <c r="X65">
        <f t="shared" si="17"/>
        <v>0.18682985028976185</v>
      </c>
      <c r="AC65">
        <f t="shared" si="18"/>
        <v>0.18682985028976185</v>
      </c>
      <c r="AD65">
        <f t="shared" si="19"/>
        <v>3.4965075614664802</v>
      </c>
      <c r="AE65">
        <f t="shared" si="20"/>
        <v>-1.6775569678286917</v>
      </c>
      <c r="AF65">
        <f t="shared" si="21"/>
        <v>0.23635309500856153</v>
      </c>
      <c r="AG65">
        <f t="shared" si="22"/>
        <v>0.41108200188028177</v>
      </c>
      <c r="AH65">
        <f t="shared" si="23"/>
        <v>0.781413427801604</v>
      </c>
      <c r="AL65">
        <f t="shared" si="24"/>
        <v>3.4965075614664802</v>
      </c>
      <c r="AM65">
        <f t="shared" si="25"/>
        <v>-1.4424284268061576</v>
      </c>
      <c r="AN65">
        <f t="shared" si="26"/>
        <v>-0.888962566430073</v>
      </c>
      <c r="AO65">
        <f t="shared" si="27"/>
        <v>-0.24665091222214486</v>
      </c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</row>
    <row r="66" spans="1:54" ht="12.75">
      <c r="A66">
        <f t="shared" si="29"/>
        <v>34</v>
      </c>
      <c r="B66">
        <f t="shared" si="10"/>
        <v>0.8865655480309245</v>
      </c>
      <c r="C66">
        <f t="shared" si="11"/>
        <v>0.18765642463097532</v>
      </c>
      <c r="E66">
        <f t="shared" si="12"/>
        <v>0.8865655480309245</v>
      </c>
      <c r="F66">
        <f t="shared" si="32"/>
        <v>0.8865655480309245</v>
      </c>
      <c r="G66">
        <f t="shared" si="30"/>
        <v>34</v>
      </c>
      <c r="H66">
        <f t="shared" si="33"/>
        <v>2.972944283987349</v>
      </c>
      <c r="I66">
        <f t="shared" si="34"/>
        <v>0.9978632426254528</v>
      </c>
      <c r="J66">
        <f t="shared" si="35"/>
        <v>5.8640880438070955</v>
      </c>
      <c r="K66">
        <f t="shared" si="36"/>
        <v>42.151602540161036</v>
      </c>
      <c r="L66">
        <f t="shared" si="37"/>
        <v>0.23576136691675634</v>
      </c>
      <c r="M66">
        <f t="shared" si="38"/>
        <v>0.4068778035273126</v>
      </c>
      <c r="N66">
        <f t="shared" si="39"/>
        <v>0.7768796150072738</v>
      </c>
      <c r="R66">
        <f t="shared" si="14"/>
        <v>0.8865655480309245</v>
      </c>
      <c r="S66" s="2">
        <f t="shared" si="15"/>
        <v>0.18765642463097532</v>
      </c>
      <c r="T66" s="2">
        <f t="shared" si="40"/>
        <v>2.972944283987349</v>
      </c>
      <c r="V66">
        <f t="shared" si="41"/>
        <v>0.18765642463097532</v>
      </c>
      <c r="W66">
        <f t="shared" si="16"/>
        <v>0.18765642463097532</v>
      </c>
      <c r="X66">
        <f t="shared" si="17"/>
        <v>0.18765642463097532</v>
      </c>
      <c r="AC66">
        <f t="shared" si="18"/>
        <v>0.18765642463097532</v>
      </c>
      <c r="AD66">
        <f t="shared" si="19"/>
        <v>3.5263605246161616</v>
      </c>
      <c r="AE66">
        <f t="shared" si="20"/>
        <v>-1.6731425166785023</v>
      </c>
      <c r="AF66">
        <f t="shared" si="21"/>
        <v>0.23576136691675634</v>
      </c>
      <c r="AG66">
        <f t="shared" si="22"/>
        <v>0.4068778035273126</v>
      </c>
      <c r="AH66">
        <f t="shared" si="23"/>
        <v>0.7768796150072738</v>
      </c>
      <c r="AL66">
        <f t="shared" si="24"/>
        <v>3.5263605246161616</v>
      </c>
      <c r="AM66">
        <f t="shared" si="25"/>
        <v>-1.4449351426531656</v>
      </c>
      <c r="AN66">
        <f t="shared" si="26"/>
        <v>-0.8992423756533335</v>
      </c>
      <c r="AO66">
        <f t="shared" si="27"/>
        <v>-0.25246987625883016</v>
      </c>
      <c r="AQ66" s="19"/>
      <c r="AR66" s="19"/>
      <c r="AS66" s="19"/>
      <c r="AT66" s="20">
        <f>AT64+AY64</f>
        <v>0.015629373828072585</v>
      </c>
      <c r="AU66" s="19"/>
      <c r="AV66" s="19" t="s">
        <v>55</v>
      </c>
      <c r="AW66" s="19"/>
      <c r="AX66" s="19"/>
      <c r="AY66" s="19"/>
      <c r="AZ66" s="19"/>
      <c r="BA66" s="19"/>
      <c r="BB66" s="19"/>
    </row>
    <row r="67" spans="1:54" ht="12.75">
      <c r="A67">
        <f t="shared" si="29"/>
        <v>35</v>
      </c>
      <c r="B67">
        <f t="shared" si="10"/>
        <v>0.8836676178519633</v>
      </c>
      <c r="C67">
        <f t="shared" si="11"/>
        <v>0.18843783287904636</v>
      </c>
      <c r="E67">
        <f t="shared" si="12"/>
        <v>0.8836676178519633</v>
      </c>
      <c r="F67">
        <f t="shared" si="32"/>
        <v>0.8836676178519633</v>
      </c>
      <c r="G67">
        <f t="shared" si="30"/>
        <v>35</v>
      </c>
      <c r="H67">
        <f t="shared" si="33"/>
        <v>3.073127372446963</v>
      </c>
      <c r="I67">
        <f t="shared" si="34"/>
        <v>0.9978767976786429</v>
      </c>
      <c r="J67">
        <f t="shared" si="35"/>
        <v>5.864167702042764</v>
      </c>
      <c r="K67">
        <f t="shared" si="36"/>
        <v>42.152175130862915</v>
      </c>
      <c r="L67">
        <f t="shared" si="37"/>
        <v>0.23520339320744968</v>
      </c>
      <c r="M67">
        <f t="shared" si="38"/>
        <v>0.4028514864800907</v>
      </c>
      <c r="N67">
        <f t="shared" si="39"/>
        <v>0.7724178853970612</v>
      </c>
      <c r="R67">
        <f t="shared" si="14"/>
        <v>0.8836676178519633</v>
      </c>
      <c r="S67" s="2">
        <f t="shared" si="15"/>
        <v>0.18843783287904636</v>
      </c>
      <c r="T67" s="2">
        <f t="shared" si="40"/>
        <v>3.073127372446963</v>
      </c>
      <c r="V67">
        <f t="shared" si="41"/>
        <v>0.18843783287904636</v>
      </c>
      <c r="W67">
        <f t="shared" si="16"/>
        <v>0.18843783287904636</v>
      </c>
      <c r="X67">
        <f t="shared" si="17"/>
        <v>0.18843783287904636</v>
      </c>
      <c r="AC67">
        <f t="shared" si="18"/>
        <v>0.18843783287904636</v>
      </c>
      <c r="AD67">
        <f t="shared" si="19"/>
        <v>3.5553480614894135</v>
      </c>
      <c r="AE67">
        <f t="shared" si="20"/>
        <v>-1.6689871255398903</v>
      </c>
      <c r="AF67">
        <f t="shared" si="21"/>
        <v>0.23520339320744968</v>
      </c>
      <c r="AG67">
        <f t="shared" si="22"/>
        <v>0.4028514864800907</v>
      </c>
      <c r="AH67">
        <f t="shared" si="23"/>
        <v>0.7724178853970612</v>
      </c>
      <c r="AL67">
        <f t="shared" si="24"/>
        <v>3.5553480614894135</v>
      </c>
      <c r="AM67">
        <f t="shared" si="25"/>
        <v>-1.4473046361593098</v>
      </c>
      <c r="AN67">
        <f t="shared" si="26"/>
        <v>-0.909187304856119</v>
      </c>
      <c r="AO67">
        <f t="shared" si="27"/>
        <v>-0.2582295730808192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</row>
    <row r="68" spans="1:54" ht="12.75">
      <c r="A68">
        <f t="shared" si="29"/>
        <v>36</v>
      </c>
      <c r="B68">
        <f t="shared" si="10"/>
        <v>0.8809306807433454</v>
      </c>
      <c r="C68">
        <f t="shared" si="11"/>
        <v>0.18917767013215547</v>
      </c>
      <c r="E68">
        <f t="shared" si="12"/>
        <v>0.8809306807433454</v>
      </c>
      <c r="F68">
        <f t="shared" si="32"/>
        <v>0.8809306807433454</v>
      </c>
      <c r="G68">
        <f t="shared" si="30"/>
        <v>36</v>
      </c>
      <c r="H68">
        <f t="shared" si="33"/>
        <v>3.1733413354317905</v>
      </c>
      <c r="I68">
        <f t="shared" si="34"/>
        <v>0.9978895280286406</v>
      </c>
      <c r="J68">
        <f t="shared" si="35"/>
        <v>5.864242513790532</v>
      </c>
      <c r="K68">
        <f t="shared" si="36"/>
        <v>42.15271288456541</v>
      </c>
      <c r="L68">
        <f t="shared" si="37"/>
        <v>0.2346763646620456</v>
      </c>
      <c r="M68">
        <f t="shared" si="38"/>
        <v>0.3989919695719508</v>
      </c>
      <c r="N68">
        <f t="shared" si="39"/>
        <v>0.7680265426965499</v>
      </c>
      <c r="R68">
        <f t="shared" si="14"/>
        <v>0.8809306807433454</v>
      </c>
      <c r="S68" s="2">
        <f t="shared" si="15"/>
        <v>0.18917767013215547</v>
      </c>
      <c r="T68" s="2">
        <f t="shared" si="40"/>
        <v>3.1733413354317905</v>
      </c>
      <c r="V68">
        <f t="shared" si="41"/>
        <v>0.18917767013215547</v>
      </c>
      <c r="W68">
        <f t="shared" si="16"/>
        <v>0.18917767013215547</v>
      </c>
      <c r="X68">
        <f t="shared" si="17"/>
        <v>0.18917767013215547</v>
      </c>
      <c r="AC68">
        <f t="shared" si="18"/>
        <v>0.18917767013215547</v>
      </c>
      <c r="AD68">
        <f t="shared" si="19"/>
        <v>3.58351893845611</v>
      </c>
      <c r="AE68">
        <f t="shared" si="20"/>
        <v>-1.665068651886887</v>
      </c>
      <c r="AF68">
        <f t="shared" si="21"/>
        <v>0.2346763646620456</v>
      </c>
      <c r="AG68">
        <f t="shared" si="22"/>
        <v>0.3989919695719508</v>
      </c>
      <c r="AH68">
        <f t="shared" si="23"/>
        <v>0.7680265426965499</v>
      </c>
      <c r="AL68">
        <f t="shared" si="24"/>
        <v>3.58351893845611</v>
      </c>
      <c r="AM68">
        <f t="shared" si="25"/>
        <v>-1.449547885661275</v>
      </c>
      <c r="AN68">
        <f t="shared" si="26"/>
        <v>-0.9188139886809001</v>
      </c>
      <c r="AO68">
        <f t="shared" si="27"/>
        <v>-0.2639309856288763</v>
      </c>
      <c r="AQ68" s="19"/>
      <c r="AR68" s="19" t="s">
        <v>52</v>
      </c>
      <c r="AS68" s="19" t="s">
        <v>46</v>
      </c>
      <c r="AT68" s="19" t="s">
        <v>61</v>
      </c>
      <c r="AU68" s="19"/>
      <c r="AV68" s="19"/>
      <c r="AW68" s="19"/>
      <c r="AX68" s="19"/>
      <c r="AY68" s="19"/>
      <c r="AZ68" s="19"/>
      <c r="BA68" s="19"/>
      <c r="BB68" s="19"/>
    </row>
    <row r="69" spans="1:54" ht="12.75">
      <c r="A69">
        <f t="shared" si="29"/>
        <v>37</v>
      </c>
      <c r="B69">
        <f t="shared" si="10"/>
        <v>0.8783416834535457</v>
      </c>
      <c r="C69">
        <f t="shared" si="11"/>
        <v>0.18987916068341792</v>
      </c>
      <c r="E69">
        <f t="shared" si="12"/>
        <v>0.8783416834535457</v>
      </c>
      <c r="F69">
        <f t="shared" si="32"/>
        <v>0.8783416834535457</v>
      </c>
      <c r="G69">
        <f t="shared" si="30"/>
        <v>37</v>
      </c>
      <c r="H69">
        <f t="shared" si="33"/>
        <v>3.273583650193853</v>
      </c>
      <c r="I69">
        <f t="shared" si="34"/>
        <v>0.9979015065016017</v>
      </c>
      <c r="J69">
        <f t="shared" si="35"/>
        <v>5.864312907023867</v>
      </c>
      <c r="K69">
        <f t="shared" si="36"/>
        <v>42.15321887758101</v>
      </c>
      <c r="L69">
        <f t="shared" si="37"/>
        <v>0.2341777754557652</v>
      </c>
      <c r="M69">
        <f t="shared" si="38"/>
        <v>0.3952890759152023</v>
      </c>
      <c r="N69">
        <f t="shared" si="39"/>
        <v>0.7637039420791043</v>
      </c>
      <c r="R69">
        <f t="shared" si="14"/>
        <v>0.8783416834535457</v>
      </c>
      <c r="S69" s="2">
        <f t="shared" si="15"/>
        <v>0.18987916068341792</v>
      </c>
      <c r="T69" s="2">
        <f t="shared" si="40"/>
        <v>3.273583650193853</v>
      </c>
      <c r="V69">
        <f t="shared" si="41"/>
        <v>0.18987916068341792</v>
      </c>
      <c r="W69">
        <f t="shared" si="16"/>
        <v>0.18987916068341792</v>
      </c>
      <c r="X69">
        <f t="shared" si="17"/>
        <v>0.18987916068341792</v>
      </c>
      <c r="AC69">
        <f t="shared" si="18"/>
        <v>0.18987916068341792</v>
      </c>
      <c r="AD69">
        <f t="shared" si="19"/>
        <v>3.6109179126442243</v>
      </c>
      <c r="AE69">
        <f t="shared" si="20"/>
        <v>-1.6613674055562195</v>
      </c>
      <c r="AF69">
        <f t="shared" si="21"/>
        <v>0.2341777754557652</v>
      </c>
      <c r="AG69">
        <f t="shared" si="22"/>
        <v>0.3952890759152023</v>
      </c>
      <c r="AH69">
        <f t="shared" si="23"/>
        <v>0.7637039420791043</v>
      </c>
      <c r="AL69">
        <f t="shared" si="24"/>
        <v>3.6109179126442243</v>
      </c>
      <c r="AM69">
        <f t="shared" si="25"/>
        <v>-1.4516747278988231</v>
      </c>
      <c r="AN69">
        <f t="shared" si="26"/>
        <v>-0.9281379439836804</v>
      </c>
      <c r="AO69">
        <f t="shared" si="27"/>
        <v>-0.269575075284826</v>
      </c>
      <c r="AQ69" s="19"/>
      <c r="AR69" s="19"/>
      <c r="AS69" s="19" t="s">
        <v>6</v>
      </c>
      <c r="AT69" s="19" t="s">
        <v>47</v>
      </c>
      <c r="AU69" s="19"/>
      <c r="AV69" s="19"/>
      <c r="AW69" s="19"/>
      <c r="AX69" s="19" t="s">
        <v>48</v>
      </c>
      <c r="AY69" s="19" t="s">
        <v>47</v>
      </c>
      <c r="AZ69" s="19"/>
      <c r="BA69" s="19"/>
      <c r="BB69" s="19"/>
    </row>
    <row r="70" spans="1:69" ht="12.75">
      <c r="A70">
        <f t="shared" si="29"/>
        <v>38</v>
      </c>
      <c r="B70">
        <f t="shared" si="10"/>
        <v>0.8758889467328498</v>
      </c>
      <c r="C70">
        <f t="shared" si="11"/>
        <v>0.1905452045139413</v>
      </c>
      <c r="E70">
        <f t="shared" si="12"/>
        <v>0.8758889467328498</v>
      </c>
      <c r="F70">
        <f t="shared" si="32"/>
        <v>0.8758889467328498</v>
      </c>
      <c r="G70">
        <f t="shared" si="30"/>
        <v>38</v>
      </c>
      <c r="H70">
        <f t="shared" si="33"/>
        <v>3.373852061124978</v>
      </c>
      <c r="I70">
        <f t="shared" si="34"/>
        <v>0.9979127976155198</v>
      </c>
      <c r="J70">
        <f t="shared" si="35"/>
        <v>5.864379260892112</v>
      </c>
      <c r="K70">
        <f t="shared" si="36"/>
        <v>42.15369583526998</v>
      </c>
      <c r="L70">
        <f t="shared" si="37"/>
        <v>0.23370538327080975</v>
      </c>
      <c r="M70">
        <f t="shared" si="38"/>
        <v>0.3917334421853139</v>
      </c>
      <c r="N70">
        <f t="shared" si="39"/>
        <v>0.75944848845858</v>
      </c>
      <c r="R70">
        <f t="shared" si="14"/>
        <v>0.8758889467328498</v>
      </c>
      <c r="S70" s="2">
        <f t="shared" si="15"/>
        <v>0.1905452045139413</v>
      </c>
      <c r="T70" s="2">
        <f t="shared" si="40"/>
        <v>3.373852061124978</v>
      </c>
      <c r="V70">
        <f t="shared" si="41"/>
        <v>0.1905452045139413</v>
      </c>
      <c r="W70">
        <f t="shared" si="16"/>
        <v>0.1905452045139413</v>
      </c>
      <c r="X70">
        <f t="shared" si="17"/>
        <v>0.1905452045139413</v>
      </c>
      <c r="AC70">
        <f t="shared" si="18"/>
        <v>0.1905452045139413</v>
      </c>
      <c r="AD70">
        <f t="shared" si="19"/>
        <v>3.6375861597263857</v>
      </c>
      <c r="AE70">
        <f t="shared" si="20"/>
        <v>-1.657865818528721</v>
      </c>
      <c r="AF70">
        <f t="shared" si="21"/>
        <v>0.23370538327080975</v>
      </c>
      <c r="AG70">
        <f t="shared" si="22"/>
        <v>0.3917334421853139</v>
      </c>
      <c r="AH70">
        <f t="shared" si="23"/>
        <v>0.75944848845858</v>
      </c>
      <c r="AL70">
        <f t="shared" si="24"/>
        <v>3.6375861597263857</v>
      </c>
      <c r="AM70">
        <f t="shared" si="25"/>
        <v>-1.4536940027398109</v>
      </c>
      <c r="AN70">
        <f t="shared" si="26"/>
        <v>-0.9371736649179648</v>
      </c>
      <c r="AO70">
        <f t="shared" si="27"/>
        <v>-0.27516278221073565</v>
      </c>
      <c r="AQ70" s="19"/>
      <c r="AR70" s="19">
        <v>2</v>
      </c>
      <c r="AS70" s="19">
        <v>0.51</v>
      </c>
      <c r="AT70" s="19">
        <f>AT53</f>
        <v>0.49875170735701363</v>
      </c>
      <c r="AU70" s="19">
        <f aca="true" t="shared" si="42" ref="AU70:AV74">LN(AR70)</f>
        <v>0.6931471805599453</v>
      </c>
      <c r="AV70" s="19">
        <f t="shared" si="42"/>
        <v>-0.6733445532637656</v>
      </c>
      <c r="AW70" s="19">
        <v>2</v>
      </c>
      <c r="AX70" s="19">
        <v>0.02</v>
      </c>
      <c r="AY70" s="19">
        <f>AY53</f>
        <v>0.006055650041500105</v>
      </c>
      <c r="AZ70" s="19">
        <f>LN(AR70)</f>
        <v>0.6931471805599453</v>
      </c>
      <c r="BA70" s="19">
        <f>LN(AX70)</f>
        <v>-3.912023005428146</v>
      </c>
      <c r="BB70" s="19"/>
      <c r="BP70" t="s">
        <v>62</v>
      </c>
      <c r="BQ70">
        <f aca="true" t="shared" si="43" ref="BQ70:BQ79">G8</f>
        <v>0</v>
      </c>
    </row>
    <row r="71" spans="1:69" ht="12.75">
      <c r="A71">
        <f t="shared" si="29"/>
        <v>39</v>
      </c>
      <c r="B71">
        <f t="shared" si="10"/>
        <v>0.8735619891823562</v>
      </c>
      <c r="C71">
        <f t="shared" si="11"/>
        <v>0.19117841697837212</v>
      </c>
      <c r="E71">
        <f t="shared" si="12"/>
        <v>0.8735619891823562</v>
      </c>
      <c r="F71">
        <f t="shared" si="32"/>
        <v>0.8735619891823562</v>
      </c>
      <c r="G71">
        <f t="shared" si="30"/>
        <v>39</v>
      </c>
      <c r="H71">
        <f t="shared" si="33"/>
        <v>3.4741445453582314</v>
      </c>
      <c r="I71">
        <f t="shared" si="34"/>
        <v>0.997923458729568</v>
      </c>
      <c r="J71">
        <f t="shared" si="35"/>
        <v>5.864441912474767</v>
      </c>
      <c r="K71">
        <f t="shared" si="36"/>
        <v>42.15414618059066</v>
      </c>
      <c r="L71">
        <f t="shared" si="37"/>
        <v>0.23325717554125278</v>
      </c>
      <c r="M71">
        <f t="shared" si="38"/>
        <v>0.38831643865614857</v>
      </c>
      <c r="N71">
        <f t="shared" si="39"/>
        <v>0.7552586348054046</v>
      </c>
      <c r="R71">
        <f t="shared" si="14"/>
        <v>0.8735619891823562</v>
      </c>
      <c r="S71" s="2">
        <f t="shared" si="15"/>
        <v>0.19117841697837212</v>
      </c>
      <c r="T71" s="2">
        <f t="shared" si="40"/>
        <v>3.4741445453582314</v>
      </c>
      <c r="V71">
        <f t="shared" si="41"/>
        <v>0.19117841697837212</v>
      </c>
      <c r="W71">
        <f t="shared" si="16"/>
        <v>0.19117841697837212</v>
      </c>
      <c r="X71">
        <f t="shared" si="17"/>
        <v>0.19117841697837212</v>
      </c>
      <c r="AC71">
        <f t="shared" si="18"/>
        <v>0.19117841697837212</v>
      </c>
      <c r="AD71">
        <f t="shared" si="19"/>
        <v>3.6635616461296463</v>
      </c>
      <c r="AE71">
        <f t="shared" si="20"/>
        <v>-1.6545481666487585</v>
      </c>
      <c r="AF71">
        <f t="shared" si="21"/>
        <v>0.23325717554125278</v>
      </c>
      <c r="AG71">
        <f t="shared" si="22"/>
        <v>0.38831643865614857</v>
      </c>
      <c r="AH71">
        <f t="shared" si="23"/>
        <v>0.7552586348054046</v>
      </c>
      <c r="AL71">
        <f t="shared" si="24"/>
        <v>3.6635616461296463</v>
      </c>
      <c r="AM71">
        <f t="shared" si="25"/>
        <v>-1.4556136764213148</v>
      </c>
      <c r="AN71">
        <f t="shared" si="26"/>
        <v>-0.9459347082033265</v>
      </c>
      <c r="AO71">
        <f t="shared" si="27"/>
        <v>-0.2806950257381377</v>
      </c>
      <c r="AQ71" s="19"/>
      <c r="AR71" s="19">
        <v>5</v>
      </c>
      <c r="AS71" s="19">
        <v>0.33</v>
      </c>
      <c r="AT71" s="19">
        <f>AT54</f>
        <v>0.34723251652440784</v>
      </c>
      <c r="AU71" s="19">
        <f t="shared" si="42"/>
        <v>1.6094379124341003</v>
      </c>
      <c r="AV71" s="19">
        <f t="shared" si="42"/>
        <v>-1.1086626245216111</v>
      </c>
      <c r="AW71" s="19">
        <v>5</v>
      </c>
      <c r="AX71" s="19">
        <v>0.06</v>
      </c>
      <c r="AY71" s="19">
        <f>AY54</f>
        <v>0.07013630879224819</v>
      </c>
      <c r="AZ71" s="19">
        <f>LN(AR71)</f>
        <v>1.6094379124341003</v>
      </c>
      <c r="BA71" s="19">
        <f>LN(AX71)</f>
        <v>-2.8134107167600364</v>
      </c>
      <c r="BB71" s="19"/>
      <c r="BP71">
        <f aca="true" t="shared" si="44" ref="BP71:BP79">F9</f>
        <v>0</v>
      </c>
      <c r="BQ71">
        <f t="shared" si="43"/>
        <v>0</v>
      </c>
    </row>
    <row r="72" spans="1:69" ht="12.75">
      <c r="A72">
        <f t="shared" si="29"/>
        <v>40</v>
      </c>
      <c r="B72">
        <f t="shared" si="10"/>
        <v>0.8713513775251785</v>
      </c>
      <c r="C72">
        <f t="shared" si="11"/>
        <v>0.19178116281526125</v>
      </c>
      <c r="E72">
        <f t="shared" si="12"/>
        <v>0.8713513775251785</v>
      </c>
      <c r="F72">
        <f t="shared" si="32"/>
        <v>0.8713513775251785</v>
      </c>
      <c r="G72">
        <f t="shared" si="30"/>
        <v>40</v>
      </c>
      <c r="H72">
        <f t="shared" si="33"/>
        <v>3.57445928354427</v>
      </c>
      <c r="I72">
        <f t="shared" si="34"/>
        <v>0.9979335410081396</v>
      </c>
      <c r="J72">
        <f t="shared" si="35"/>
        <v>5.864501162446808</v>
      </c>
      <c r="K72">
        <f t="shared" si="36"/>
        <v>42.15457207482235</v>
      </c>
      <c r="L72">
        <f t="shared" si="37"/>
        <v>0.23283134075744769</v>
      </c>
      <c r="M72">
        <f t="shared" si="38"/>
        <v>0.38503009852124065</v>
      </c>
      <c r="N72">
        <f t="shared" si="39"/>
        <v>0.751132880496416</v>
      </c>
      <c r="R72">
        <f t="shared" si="14"/>
        <v>0.8713513775251785</v>
      </c>
      <c r="S72" s="2">
        <f t="shared" si="15"/>
        <v>0.19178116281526125</v>
      </c>
      <c r="T72" s="2">
        <f t="shared" si="40"/>
        <v>3.57445928354427</v>
      </c>
      <c r="V72">
        <f t="shared" si="41"/>
        <v>0.19178116281526125</v>
      </c>
      <c r="W72">
        <f t="shared" si="16"/>
        <v>0.19178116281526125</v>
      </c>
      <c r="X72">
        <f t="shared" si="17"/>
        <v>0.19178116281526125</v>
      </c>
      <c r="AC72">
        <f t="shared" si="18"/>
        <v>0.19178116281526125</v>
      </c>
      <c r="AD72">
        <f t="shared" si="19"/>
        <v>3.6888794541139363</v>
      </c>
      <c r="AE72">
        <f t="shared" si="20"/>
        <v>-1.651400333997993</v>
      </c>
      <c r="AF72">
        <f t="shared" si="21"/>
        <v>0.23283134075744769</v>
      </c>
      <c r="AG72">
        <f t="shared" si="22"/>
        <v>0.38503009852124065</v>
      </c>
      <c r="AH72">
        <f t="shared" si="23"/>
        <v>0.751132880496416</v>
      </c>
      <c r="AL72">
        <f t="shared" si="24"/>
        <v>3.6888794541139363</v>
      </c>
      <c r="AM72">
        <f t="shared" si="25"/>
        <v>-1.457440946939251</v>
      </c>
      <c r="AN72">
        <f t="shared" si="26"/>
        <v>-0.9544337697728432</v>
      </c>
      <c r="AO72">
        <f t="shared" si="27"/>
        <v>-0.2861727047919134</v>
      </c>
      <c r="AQ72" s="19"/>
      <c r="AR72" s="19">
        <v>10</v>
      </c>
      <c r="AS72" s="19">
        <v>0.37</v>
      </c>
      <c r="AT72" s="19">
        <f>AT55</f>
        <v>0.28246281691980724</v>
      </c>
      <c r="AU72" s="19">
        <f t="shared" si="42"/>
        <v>2.302585092994046</v>
      </c>
      <c r="AV72" s="19">
        <f t="shared" si="42"/>
        <v>-0.9942522733438669</v>
      </c>
      <c r="AW72" s="19">
        <v>10</v>
      </c>
      <c r="AX72" s="19">
        <v>0.13</v>
      </c>
      <c r="AY72" s="19">
        <f>AY55</f>
        <v>0.12924236339905038</v>
      </c>
      <c r="AZ72" s="19">
        <f>LN(AR72)</f>
        <v>2.302585092994046</v>
      </c>
      <c r="BA72" s="19">
        <f>LN(AX72)</f>
        <v>-2.0402208285265546</v>
      </c>
      <c r="BB72" s="19"/>
      <c r="BP72">
        <f t="shared" si="44"/>
        <v>0</v>
      </c>
      <c r="BQ72">
        <f t="shared" si="43"/>
        <v>1</v>
      </c>
    </row>
    <row r="73" spans="1:69" ht="12.75">
      <c r="A73">
        <f t="shared" si="29"/>
        <v>41</v>
      </c>
      <c r="B73">
        <f t="shared" si="10"/>
        <v>0.8692485987888144</v>
      </c>
      <c r="C73">
        <f t="shared" si="11"/>
        <v>0.1923555854048542</v>
      </c>
      <c r="E73">
        <f t="shared" si="12"/>
        <v>0.8692485987888144</v>
      </c>
      <c r="F73">
        <f t="shared" si="32"/>
        <v>0.8692485987888144</v>
      </c>
      <c r="G73">
        <f t="shared" si="30"/>
        <v>41</v>
      </c>
      <c r="H73">
        <f t="shared" si="33"/>
        <v>3.67479463491756</v>
      </c>
      <c r="I73">
        <f t="shared" si="34"/>
        <v>0.9979430902334785</v>
      </c>
      <c r="J73">
        <f t="shared" si="35"/>
        <v>5.86455727985423</v>
      </c>
      <c r="K73">
        <f t="shared" si="36"/>
        <v>42.154975451892334</v>
      </c>
      <c r="L73">
        <f t="shared" si="37"/>
        <v>0.23242624396676198</v>
      </c>
      <c r="M73">
        <f t="shared" si="38"/>
        <v>0.38186705526120407</v>
      </c>
      <c r="N73">
        <f t="shared" si="39"/>
        <v>0.7470697697055774</v>
      </c>
      <c r="R73">
        <f t="shared" si="14"/>
        <v>0.8692485987888144</v>
      </c>
      <c r="S73" s="2">
        <f t="shared" si="15"/>
        <v>0.1923555854048542</v>
      </c>
      <c r="T73" s="2">
        <f t="shared" si="40"/>
        <v>3.67479463491756</v>
      </c>
      <c r="V73">
        <f t="shared" si="41"/>
        <v>0.1923555854048542</v>
      </c>
      <c r="W73">
        <f t="shared" si="16"/>
        <v>0.1923555854048542</v>
      </c>
      <c r="X73">
        <f t="shared" si="17"/>
        <v>0.1923555854048542</v>
      </c>
      <c r="AC73">
        <f t="shared" si="18"/>
        <v>0.1923555854048542</v>
      </c>
      <c r="AD73">
        <f t="shared" si="19"/>
        <v>3.713572066704308</v>
      </c>
      <c r="AE73">
        <f t="shared" si="20"/>
        <v>-1.648409612488475</v>
      </c>
      <c r="AF73">
        <f t="shared" si="21"/>
        <v>0.23242624396676198</v>
      </c>
      <c r="AG73">
        <f t="shared" si="22"/>
        <v>0.38186705526120407</v>
      </c>
      <c r="AH73">
        <f t="shared" si="23"/>
        <v>0.7470697697055774</v>
      </c>
      <c r="AL73">
        <f t="shared" si="24"/>
        <v>3.713572066704308</v>
      </c>
      <c r="AM73">
        <f t="shared" si="25"/>
        <v>-1.459182334533372</v>
      </c>
      <c r="AN73">
        <f t="shared" si="26"/>
        <v>-0.9626827538260068</v>
      </c>
      <c r="AO73">
        <f t="shared" si="27"/>
        <v>-0.2915966983372188</v>
      </c>
      <c r="AQ73" s="19"/>
      <c r="AR73" s="19">
        <v>20</v>
      </c>
      <c r="AS73" s="19">
        <v>0.37</v>
      </c>
      <c r="AT73" s="19">
        <f>AT56</f>
        <v>0.24941616362799174</v>
      </c>
      <c r="AU73" s="19">
        <f t="shared" si="42"/>
        <v>2.995732273553991</v>
      </c>
      <c r="AV73" s="19">
        <f t="shared" si="42"/>
        <v>-0.9942522733438669</v>
      </c>
      <c r="AW73" s="19">
        <v>20</v>
      </c>
      <c r="AX73" s="19">
        <v>0.15</v>
      </c>
      <c r="AY73" s="19">
        <f>AY56</f>
        <v>0.16914138036129356</v>
      </c>
      <c r="AZ73" s="19">
        <f>LN(AR73)</f>
        <v>2.995732273553991</v>
      </c>
      <c r="BA73" s="19">
        <f>LN(AX73)</f>
        <v>-1.8971199848858813</v>
      </c>
      <c r="BB73" s="19"/>
      <c r="BP73" t="str">
        <f t="shared" si="44"/>
        <v>k</v>
      </c>
      <c r="BQ73">
        <f t="shared" si="43"/>
        <v>0.4659554712090612</v>
      </c>
    </row>
    <row r="74" spans="1:69" ht="12.75">
      <c r="A74">
        <f t="shared" si="29"/>
        <v>42</v>
      </c>
      <c r="B74">
        <f t="shared" si="10"/>
        <v>0.8672459507468787</v>
      </c>
      <c r="C74">
        <f t="shared" si="11"/>
        <v>0.19290363202980654</v>
      </c>
      <c r="E74">
        <f t="shared" si="12"/>
        <v>0.8672459507468787</v>
      </c>
      <c r="F74">
        <f t="shared" si="32"/>
        <v>0.8672459507468787</v>
      </c>
      <c r="G74">
        <f t="shared" si="30"/>
        <v>42</v>
      </c>
      <c r="H74">
        <f t="shared" si="33"/>
        <v>3.7751491159362898</v>
      </c>
      <c r="I74">
        <f t="shared" si="34"/>
        <v>0.9979521474938847</v>
      </c>
      <c r="J74">
        <f t="shared" si="35"/>
        <v>5.864610506158385</v>
      </c>
      <c r="K74">
        <f t="shared" si="36"/>
        <v>42.15535804744695</v>
      </c>
      <c r="L74">
        <f t="shared" si="37"/>
        <v>0.23204040577174456</v>
      </c>
      <c r="M74">
        <f t="shared" si="38"/>
        <v>0.378820487004029</v>
      </c>
      <c r="N74">
        <f t="shared" si="39"/>
        <v>0.7430678898402611</v>
      </c>
      <c r="R74">
        <f t="shared" si="14"/>
        <v>0.8672459507468787</v>
      </c>
      <c r="S74" s="2">
        <f t="shared" si="15"/>
        <v>0.19290363202980654</v>
      </c>
      <c r="T74" s="2">
        <f t="shared" si="40"/>
        <v>3.7751491159362898</v>
      </c>
      <c r="V74">
        <f t="shared" si="41"/>
        <v>0.19290363202980654</v>
      </c>
      <c r="W74">
        <f t="shared" si="16"/>
        <v>0.19290363202980654</v>
      </c>
      <c r="X74">
        <f t="shared" si="17"/>
        <v>0.19290363202980654</v>
      </c>
      <c r="AC74">
        <f t="shared" si="18"/>
        <v>0.19290363202980654</v>
      </c>
      <c r="AD74">
        <f t="shared" si="19"/>
        <v>3.7376696182833684</v>
      </c>
      <c r="AE74">
        <f t="shared" si="20"/>
        <v>-1.6455645306846889</v>
      </c>
      <c r="AF74">
        <f t="shared" si="21"/>
        <v>0.23204040577174456</v>
      </c>
      <c r="AG74">
        <f t="shared" si="22"/>
        <v>0.378820487004029</v>
      </c>
      <c r="AH74">
        <f t="shared" si="23"/>
        <v>0.7430678898402611</v>
      </c>
      <c r="AL74">
        <f t="shared" si="24"/>
        <v>3.7376696182833684</v>
      </c>
      <c r="AM74">
        <f t="shared" si="25"/>
        <v>-1.4608437596711648</v>
      </c>
      <c r="AN74">
        <f t="shared" si="26"/>
        <v>-0.9706928351727487</v>
      </c>
      <c r="AO74">
        <f t="shared" si="27"/>
        <v>-0.2969678658406707</v>
      </c>
      <c r="AQ74" s="19"/>
      <c r="AR74" s="19">
        <v>49</v>
      </c>
      <c r="AS74" s="19">
        <v>0.33</v>
      </c>
      <c r="AT74" s="19">
        <f>AT57</f>
        <v>0.229779848197893</v>
      </c>
      <c r="AU74" s="19">
        <f t="shared" si="42"/>
        <v>3.8918202981106265</v>
      </c>
      <c r="AV74" s="19">
        <f t="shared" si="42"/>
        <v>-1.1086626245216111</v>
      </c>
      <c r="AW74" s="19">
        <v>49</v>
      </c>
      <c r="AX74" s="19">
        <v>0.21</v>
      </c>
      <c r="AY74" s="19">
        <f>AY57</f>
        <v>0.19613274120490853</v>
      </c>
      <c r="AZ74" s="19">
        <f>LN(AR74)</f>
        <v>3.8918202981106265</v>
      </c>
      <c r="BA74" s="19">
        <f>LN(AX74)</f>
        <v>-1.5606477482646683</v>
      </c>
      <c r="BB74" s="19"/>
      <c r="BP74">
        <f t="shared" si="44"/>
        <v>0</v>
      </c>
      <c r="BQ74">
        <f t="shared" si="43"/>
        <v>0</v>
      </c>
    </row>
    <row r="75" spans="1:69" ht="12.75">
      <c r="A75">
        <f t="shared" si="29"/>
        <v>43</v>
      </c>
      <c r="B75">
        <f t="shared" si="10"/>
        <v>0.8653364476477954</v>
      </c>
      <c r="C75">
        <f t="shared" si="11"/>
        <v>0.19342707576041063</v>
      </c>
      <c r="E75">
        <f t="shared" si="12"/>
        <v>0.8653364476477954</v>
      </c>
      <c r="F75">
        <f t="shared" si="32"/>
        <v>0.8653364476477954</v>
      </c>
      <c r="G75">
        <f t="shared" si="30"/>
        <v>43</v>
      </c>
      <c r="H75">
        <f t="shared" si="33"/>
        <v>3.8755213819129155</v>
      </c>
      <c r="I75">
        <f t="shared" si="34"/>
        <v>0.9979607497691358</v>
      </c>
      <c r="J75">
        <f t="shared" si="35"/>
        <v>5.8646610586763</v>
      </c>
      <c r="K75">
        <f t="shared" si="36"/>
        <v>42.15572142358091</v>
      </c>
      <c r="L75">
        <f t="shared" si="37"/>
        <v>0.2316724842567551</v>
      </c>
      <c r="M75">
        <f t="shared" si="38"/>
        <v>0.3758840669804656</v>
      </c>
      <c r="N75">
        <f t="shared" si="39"/>
        <v>0.739125870026036</v>
      </c>
      <c r="R75">
        <f t="shared" si="14"/>
        <v>0.8653364476477954</v>
      </c>
      <c r="S75" s="2">
        <f t="shared" si="15"/>
        <v>0.19342707576041063</v>
      </c>
      <c r="T75" s="2">
        <f t="shared" si="40"/>
        <v>3.8755213819129155</v>
      </c>
      <c r="V75">
        <f t="shared" si="41"/>
        <v>0.19342707576041063</v>
      </c>
      <c r="W75">
        <f t="shared" si="16"/>
        <v>0.19342707576041063</v>
      </c>
      <c r="X75">
        <f t="shared" si="17"/>
        <v>0.19342707576041063</v>
      </c>
      <c r="AC75">
        <f t="shared" si="18"/>
        <v>0.19342707576041063</v>
      </c>
      <c r="AD75">
        <f t="shared" si="19"/>
        <v>3.7612001156935624</v>
      </c>
      <c r="AE75">
        <f t="shared" si="20"/>
        <v>-1.6428547070006834</v>
      </c>
      <c r="AF75">
        <f t="shared" si="21"/>
        <v>0.2316724842567551</v>
      </c>
      <c r="AG75">
        <f t="shared" si="22"/>
        <v>0.3758840669804656</v>
      </c>
      <c r="AH75">
        <f t="shared" si="23"/>
        <v>0.739125870026036</v>
      </c>
      <c r="AL75">
        <f t="shared" si="24"/>
        <v>3.7612001156935624</v>
      </c>
      <c r="AM75">
        <f t="shared" si="25"/>
        <v>-1.4624306105010907</v>
      </c>
      <c r="AN75">
        <f t="shared" si="26"/>
        <v>-0.9784745156352423</v>
      </c>
      <c r="AO75">
        <f t="shared" si="27"/>
        <v>-0.30228704773913195</v>
      </c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P75">
        <f t="shared" si="44"/>
        <v>0</v>
      </c>
      <c r="BQ75">
        <f t="shared" si="43"/>
        <v>0</v>
      </c>
    </row>
    <row r="76" spans="1:69" ht="12.75">
      <c r="A76">
        <f t="shared" si="29"/>
        <v>44</v>
      </c>
      <c r="B76">
        <f t="shared" si="10"/>
        <v>0.8635137387984673</v>
      </c>
      <c r="C76">
        <f t="shared" si="11"/>
        <v>0.1939275344780893</v>
      </c>
      <c r="E76">
        <f t="shared" si="12"/>
        <v>0.8635137387984673</v>
      </c>
      <c r="F76">
        <f t="shared" si="32"/>
        <v>0.8635137387984673</v>
      </c>
      <c r="G76">
        <f t="shared" si="30"/>
        <v>44</v>
      </c>
      <c r="H76">
        <f t="shared" si="33"/>
        <v>3.975910211158581</v>
      </c>
      <c r="I76">
        <f t="shared" si="34"/>
        <v>0.9979689304305682</v>
      </c>
      <c r="J76">
        <f t="shared" si="35"/>
        <v>5.864709133519472</v>
      </c>
      <c r="K76">
        <f t="shared" si="36"/>
        <v>42.15606698996164</v>
      </c>
      <c r="L76">
        <f t="shared" si="37"/>
        <v>0.23132125937746856</v>
      </c>
      <c r="M76">
        <f t="shared" si="38"/>
        <v>0.37305191930666</v>
      </c>
      <c r="N76">
        <f t="shared" si="39"/>
        <v>0.7352423796415798</v>
      </c>
      <c r="R76">
        <f t="shared" si="14"/>
        <v>0.8635137387984673</v>
      </c>
      <c r="S76" s="2">
        <f t="shared" si="15"/>
        <v>0.1939275344780893</v>
      </c>
      <c r="T76" s="2">
        <f t="shared" si="40"/>
        <v>3.975910211158581</v>
      </c>
      <c r="V76">
        <f t="shared" si="41"/>
        <v>0.1939275344780893</v>
      </c>
      <c r="W76">
        <f t="shared" si="16"/>
        <v>0.1939275344780893</v>
      </c>
      <c r="X76">
        <f t="shared" si="17"/>
        <v>0.1939275344780893</v>
      </c>
      <c r="AC76">
        <f t="shared" si="18"/>
        <v>0.1939275344780893</v>
      </c>
      <c r="AD76">
        <f t="shared" si="19"/>
        <v>3.784189633918261</v>
      </c>
      <c r="AE76">
        <f t="shared" si="20"/>
        <v>-1.6402707233179648</v>
      </c>
      <c r="AF76">
        <f t="shared" si="21"/>
        <v>0.23132125937746856</v>
      </c>
      <c r="AG76">
        <f t="shared" si="22"/>
        <v>0.37305191930666</v>
      </c>
      <c r="AH76">
        <f t="shared" si="23"/>
        <v>0.7352423796415798</v>
      </c>
      <c r="AL76">
        <f t="shared" si="24"/>
        <v>3.784189633918261</v>
      </c>
      <c r="AM76">
        <f t="shared" si="25"/>
        <v>-1.4639478013983258</v>
      </c>
      <c r="AN76">
        <f t="shared" si="26"/>
        <v>-0.9860376751732515</v>
      </c>
      <c r="AO76">
        <f t="shared" si="27"/>
        <v>-0.3075550659110525</v>
      </c>
      <c r="AQ76" s="19"/>
      <c r="AR76" s="19"/>
      <c r="AS76" s="19"/>
      <c r="AT76" s="19">
        <f>(AS70-AT70)^2</f>
        <v>0.0001265240873822615</v>
      </c>
      <c r="AU76" s="19">
        <f>(LN(AT70)-LN(AS70))^2</f>
        <v>0.0004973941129072749</v>
      </c>
      <c r="AV76" s="19"/>
      <c r="AW76" s="19"/>
      <c r="AX76" s="19"/>
      <c r="AY76" s="19">
        <f>(AX70-AY70)^2</f>
        <v>0.00019444489576511605</v>
      </c>
      <c r="AZ76" s="19">
        <f>(LN(AY70)-LN(AX70))^2</f>
        <v>1.4274049726368716</v>
      </c>
      <c r="BA76" s="19"/>
      <c r="BB76" s="19"/>
      <c r="BP76" t="str">
        <f t="shared" si="44"/>
        <v>MB</v>
      </c>
      <c r="BQ76">
        <f t="shared" si="43"/>
        <v>5.876645008366318</v>
      </c>
    </row>
    <row r="77" spans="1:69" ht="12.75">
      <c r="A77">
        <f t="shared" si="29"/>
        <v>45</v>
      </c>
      <c r="B77">
        <f t="shared" si="10"/>
        <v>0.8617720380032932</v>
      </c>
      <c r="C77">
        <f t="shared" si="11"/>
        <v>0.19440648746361522</v>
      </c>
      <c r="E77">
        <f t="shared" si="12"/>
        <v>0.8617720380032932</v>
      </c>
      <c r="F77">
        <f t="shared" si="32"/>
        <v>0.8617720380032932</v>
      </c>
      <c r="G77">
        <f t="shared" si="30"/>
        <v>45</v>
      </c>
      <c r="H77">
        <f t="shared" si="33"/>
        <v>4.076314491249327</v>
      </c>
      <c r="I77">
        <f t="shared" si="34"/>
        <v>0.9979767196699719</v>
      </c>
      <c r="J77">
        <f t="shared" si="35"/>
        <v>5.864754908114333</v>
      </c>
      <c r="K77">
        <f t="shared" si="36"/>
        <v>42.15639602194659</v>
      </c>
      <c r="L77">
        <f t="shared" si="37"/>
        <v>0.23098561943037715</v>
      </c>
      <c r="M77">
        <f t="shared" si="38"/>
        <v>0.37031857943525737</v>
      </c>
      <c r="N77">
        <f t="shared" si="39"/>
        <v>0.7314161269043854</v>
      </c>
      <c r="R77">
        <f t="shared" si="14"/>
        <v>0.8617720380032932</v>
      </c>
      <c r="S77" s="2">
        <f t="shared" si="15"/>
        <v>0.19440648746361522</v>
      </c>
      <c r="T77" s="2">
        <f t="shared" si="40"/>
        <v>4.076314491249327</v>
      </c>
      <c r="V77">
        <f t="shared" si="41"/>
        <v>0.19440648746361522</v>
      </c>
      <c r="W77">
        <f t="shared" si="16"/>
        <v>0.19440648746361522</v>
      </c>
      <c r="X77">
        <f t="shared" si="17"/>
        <v>0.19440648746361522</v>
      </c>
      <c r="AC77">
        <f t="shared" si="18"/>
        <v>0.19440648746361522</v>
      </c>
      <c r="AD77">
        <f t="shared" si="19"/>
        <v>3.8066624897703196</v>
      </c>
      <c r="AE77">
        <f t="shared" si="20"/>
        <v>-1.6378040157862064</v>
      </c>
      <c r="AF77">
        <f t="shared" si="21"/>
        <v>0.23098561943037715</v>
      </c>
      <c r="AG77">
        <f t="shared" si="22"/>
        <v>0.37031857943525737</v>
      </c>
      <c r="AH77">
        <f t="shared" si="23"/>
        <v>0.7314161269043854</v>
      </c>
      <c r="AL77">
        <f t="shared" si="24"/>
        <v>3.8066624897703196</v>
      </c>
      <c r="AM77">
        <f t="shared" si="25"/>
        <v>-1.4653998239463268</v>
      </c>
      <c r="AN77">
        <f t="shared" si="26"/>
        <v>-0.9933916183129871</v>
      </c>
      <c r="AO77">
        <f t="shared" si="27"/>
        <v>-0.31277272414654717</v>
      </c>
      <c r="AQ77" s="19"/>
      <c r="AR77" s="19"/>
      <c r="AS77" s="19"/>
      <c r="AT77" s="19">
        <f>(AS71-AT71)^2</f>
        <v>0.00029695962576398876</v>
      </c>
      <c r="AU77" s="19">
        <f>(LN(AT71)-LN(AS71))^2</f>
        <v>0.0025910113159118334</v>
      </c>
      <c r="AV77" s="19"/>
      <c r="AW77" s="19"/>
      <c r="AX77" s="19"/>
      <c r="AY77" s="19">
        <f>(AX71-AY71)^2</f>
        <v>0.00010274475593180805</v>
      </c>
      <c r="AZ77" s="19">
        <f>(LN(AY71)-LN(AX71))^2</f>
        <v>0.024365978329863203</v>
      </c>
      <c r="BA77" s="19"/>
      <c r="BB77" s="19"/>
      <c r="BP77" t="str">
        <f t="shared" si="44"/>
        <v>MC</v>
      </c>
      <c r="BQ77">
        <f t="shared" si="43"/>
        <v>42.24186315276732</v>
      </c>
    </row>
    <row r="78" spans="1:54" ht="12.75">
      <c r="A78">
        <f t="shared" si="29"/>
        <v>46</v>
      </c>
      <c r="B78">
        <f t="shared" si="10"/>
        <v>0.8601060622066535</v>
      </c>
      <c r="C78">
        <f t="shared" si="11"/>
        <v>0.19486528990554308</v>
      </c>
      <c r="E78">
        <f t="shared" si="12"/>
        <v>0.8601060622066535</v>
      </c>
      <c r="F78">
        <f t="shared" si="32"/>
        <v>0.8601060622066535</v>
      </c>
      <c r="G78">
        <f t="shared" si="30"/>
        <v>46</v>
      </c>
      <c r="H78">
        <f t="shared" si="33"/>
        <v>4.1767332070904715</v>
      </c>
      <c r="I78">
        <f t="shared" si="34"/>
        <v>0.9979841448688217</v>
      </c>
      <c r="J78">
        <f t="shared" si="35"/>
        <v>5.86479854337209</v>
      </c>
      <c r="K78">
        <f t="shared" si="36"/>
        <v>42.156709676180284</v>
      </c>
      <c r="L78">
        <f t="shared" si="37"/>
        <v>0.23066454928596594</v>
      </c>
      <c r="M78">
        <f t="shared" si="38"/>
        <v>0.3676789587080544</v>
      </c>
      <c r="N78">
        <f t="shared" si="39"/>
        <v>0.7276458575072235</v>
      </c>
      <c r="R78">
        <f t="shared" si="14"/>
        <v>0.8601060622066535</v>
      </c>
      <c r="S78" s="2">
        <f t="shared" si="15"/>
        <v>0.19486528990554308</v>
      </c>
      <c r="T78" s="2">
        <f t="shared" si="40"/>
        <v>4.1767332070904715</v>
      </c>
      <c r="V78">
        <f t="shared" si="41"/>
        <v>0.19486528990554308</v>
      </c>
      <c r="W78">
        <f t="shared" si="16"/>
        <v>0.19486528990554308</v>
      </c>
      <c r="X78">
        <f t="shared" si="17"/>
        <v>0.19486528990554308</v>
      </c>
      <c r="AC78">
        <f t="shared" si="18"/>
        <v>0.19486528990554308</v>
      </c>
      <c r="AD78">
        <f t="shared" si="19"/>
        <v>3.828641396489095</v>
      </c>
      <c r="AE78">
        <f t="shared" si="20"/>
        <v>-1.6354467801423815</v>
      </c>
      <c r="AF78">
        <f t="shared" si="21"/>
        <v>0.23066454928596594</v>
      </c>
      <c r="AG78">
        <f t="shared" si="22"/>
        <v>0.3676789587080544</v>
      </c>
      <c r="AH78">
        <f t="shared" si="23"/>
        <v>0.7276458575072235</v>
      </c>
      <c r="AL78">
        <f t="shared" si="24"/>
        <v>3.828641396489095</v>
      </c>
      <c r="AM78">
        <f t="shared" si="25"/>
        <v>-1.4667907914708096</v>
      </c>
      <c r="AN78">
        <f t="shared" si="26"/>
        <v>-1.000545116386096</v>
      </c>
      <c r="AO78">
        <f t="shared" si="27"/>
        <v>-0.31794080861334406</v>
      </c>
      <c r="AQ78" s="19"/>
      <c r="AR78" s="19"/>
      <c r="AS78" s="19"/>
      <c r="AT78" s="19">
        <f>(AS72-AT72)^2</f>
        <v>0.007662758421615186</v>
      </c>
      <c r="AU78" s="19">
        <f>(LN(AT72)-LN(AS72))^2</f>
        <v>0.07287628795673126</v>
      </c>
      <c r="AV78" s="19"/>
      <c r="AW78" s="19"/>
      <c r="AX78" s="19"/>
      <c r="AY78" s="19">
        <f>(AX72-AY72)^2</f>
        <v>5.740132190985079E-07</v>
      </c>
      <c r="AZ78" s="19">
        <f>(LN(AY72)-LN(AX72))^2</f>
        <v>3.4164291132229835E-05</v>
      </c>
      <c r="BA78" s="19"/>
      <c r="BB78" s="19"/>
    </row>
    <row r="79" spans="1:69" ht="12.75">
      <c r="A79">
        <f t="shared" si="29"/>
        <v>47</v>
      </c>
      <c r="B79">
        <f t="shared" si="10"/>
        <v>0.8585109779681582</v>
      </c>
      <c r="C79">
        <f t="shared" si="11"/>
        <v>0.1953051856263439</v>
      </c>
      <c r="E79">
        <f t="shared" si="12"/>
        <v>0.8585109779681582</v>
      </c>
      <c r="F79">
        <f t="shared" si="32"/>
        <v>0.8585109779681582</v>
      </c>
      <c r="G79">
        <f t="shared" si="30"/>
        <v>47</v>
      </c>
      <c r="H79">
        <f t="shared" si="33"/>
        <v>4.277165430510523</v>
      </c>
      <c r="I79">
        <f t="shared" si="34"/>
        <v>0.9979912309173053</v>
      </c>
      <c r="J79">
        <f t="shared" si="35"/>
        <v>5.86484018556354</v>
      </c>
      <c r="K79">
        <f t="shared" si="36"/>
        <v>42.15700900407062</v>
      </c>
      <c r="L79">
        <f t="shared" si="37"/>
        <v>0.23035712012303994</v>
      </c>
      <c r="M79">
        <f t="shared" si="38"/>
        <v>0.3651283125208989</v>
      </c>
      <c r="N79">
        <f t="shared" si="39"/>
        <v>0.7239303533048204</v>
      </c>
      <c r="R79">
        <f t="shared" si="14"/>
        <v>0.8585109779681582</v>
      </c>
      <c r="S79" s="2">
        <f t="shared" si="15"/>
        <v>0.1953051856263439</v>
      </c>
      <c r="T79" s="2">
        <f t="shared" si="40"/>
        <v>4.277165430510523</v>
      </c>
      <c r="V79">
        <f t="shared" si="41"/>
        <v>0.1953051856263439</v>
      </c>
      <c r="W79">
        <f t="shared" si="16"/>
        <v>0.1953051856263439</v>
      </c>
      <c r="X79">
        <f t="shared" si="17"/>
        <v>0.1953051856263439</v>
      </c>
      <c r="AC79">
        <f t="shared" si="18"/>
        <v>0.1953051856263439</v>
      </c>
      <c r="AD79">
        <f t="shared" si="19"/>
        <v>3.8501476017100584</v>
      </c>
      <c r="AE79">
        <f t="shared" si="20"/>
        <v>-1.633191889345789</v>
      </c>
      <c r="AF79">
        <f t="shared" si="21"/>
        <v>0.23035712012303994</v>
      </c>
      <c r="AG79">
        <f t="shared" si="22"/>
        <v>0.3651283125208989</v>
      </c>
      <c r="AH79">
        <f t="shared" si="23"/>
        <v>0.7239303533048204</v>
      </c>
      <c r="AL79">
        <f t="shared" si="24"/>
        <v>3.8501476017100584</v>
      </c>
      <c r="AM79">
        <f t="shared" si="25"/>
        <v>-1.468124478058207</v>
      </c>
      <c r="AN79">
        <f t="shared" si="26"/>
        <v>-1.0075064460226115</v>
      </c>
      <c r="AO79">
        <f t="shared" si="27"/>
        <v>-0.32306008831644734</v>
      </c>
      <c r="AQ79" s="19"/>
      <c r="AR79" s="19"/>
      <c r="AS79" s="19"/>
      <c r="AT79" s="19">
        <f>(AS73-AT73)^2</f>
        <v>0.014540461594191261</v>
      </c>
      <c r="AU79" s="19">
        <f>(LN(AT73)-LN(AS73))^2</f>
        <v>0.15553571410081368</v>
      </c>
      <c r="AV79" s="19"/>
      <c r="AW79" s="19"/>
      <c r="AX79" s="19"/>
      <c r="AY79" s="19">
        <f>(AX73-AY73)^2</f>
        <v>0.0003663924421357149</v>
      </c>
      <c r="AZ79" s="19">
        <f>(LN(AY73)-LN(AX73))^2</f>
        <v>0.014423923836109484</v>
      </c>
      <c r="BA79" s="19"/>
      <c r="BB79" s="19"/>
      <c r="BP79" t="str">
        <f t="shared" si="44"/>
        <v>SDC</v>
      </c>
      <c r="BQ79">
        <f t="shared" si="43"/>
        <v>1.435163461558178</v>
      </c>
    </row>
    <row r="80" spans="1:54" ht="12.75">
      <c r="A80">
        <f t="shared" si="29"/>
        <v>48</v>
      </c>
      <c r="B80">
        <f t="shared" si="10"/>
        <v>0.8569823546283915</v>
      </c>
      <c r="C80">
        <f t="shared" si="11"/>
        <v>0.19572731827616252</v>
      </c>
      <c r="E80">
        <f t="shared" si="12"/>
        <v>0.8569823546283915</v>
      </c>
      <c r="F80">
        <f t="shared" si="32"/>
        <v>0.8569823546283915</v>
      </c>
      <c r="G80">
        <f t="shared" si="30"/>
        <v>48</v>
      </c>
      <c r="H80">
        <f t="shared" si="33"/>
        <v>4.37761031116105</v>
      </c>
      <c r="I80">
        <f t="shared" si="34"/>
        <v>0.997998000490915</v>
      </c>
      <c r="J80">
        <f t="shared" si="35"/>
        <v>5.8648799679445025</v>
      </c>
      <c r="K80">
        <f t="shared" si="36"/>
        <v>42.15729496347265</v>
      </c>
      <c r="L80">
        <f t="shared" si="37"/>
        <v>0.23006248044541705</v>
      </c>
      <c r="M80">
        <f t="shared" si="38"/>
        <v>0.3626622116773659</v>
      </c>
      <c r="N80">
        <f t="shared" si="39"/>
        <v>0.7202684310498344</v>
      </c>
      <c r="R80">
        <f t="shared" si="14"/>
        <v>0.8569823546283915</v>
      </c>
      <c r="S80" s="2">
        <f t="shared" si="15"/>
        <v>0.19572731827616252</v>
      </c>
      <c r="T80" s="2">
        <f t="shared" si="40"/>
        <v>4.37761031116105</v>
      </c>
      <c r="V80">
        <f t="shared" si="41"/>
        <v>0.19572731827616252</v>
      </c>
      <c r="W80">
        <f t="shared" si="16"/>
        <v>0.19572731827616252</v>
      </c>
      <c r="X80">
        <f t="shared" si="17"/>
        <v>0.19572731827616252</v>
      </c>
      <c r="AC80">
        <f t="shared" si="18"/>
        <v>0.19572731827616252</v>
      </c>
      <c r="AD80">
        <f t="shared" si="19"/>
        <v>3.871201010907891</v>
      </c>
      <c r="AE80">
        <f t="shared" si="20"/>
        <v>-1.6310328217000603</v>
      </c>
      <c r="AF80">
        <f t="shared" si="21"/>
        <v>0.23006248044541705</v>
      </c>
      <c r="AG80">
        <f t="shared" si="22"/>
        <v>0.3626622116773659</v>
      </c>
      <c r="AH80">
        <f t="shared" si="23"/>
        <v>0.7202684310498344</v>
      </c>
      <c r="AL80">
        <f t="shared" si="24"/>
        <v>3.871201010907891</v>
      </c>
      <c r="AM80">
        <f t="shared" si="25"/>
        <v>-1.4694043528397296</v>
      </c>
      <c r="AN80">
        <f t="shared" si="26"/>
        <v>-1.0142834242876588</v>
      </c>
      <c r="AO80">
        <f t="shared" si="27"/>
        <v>-0.3281313155499323</v>
      </c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</row>
    <row r="81" spans="1:62" s="3" customFormat="1" ht="12.75">
      <c r="A81" s="3">
        <f t="shared" si="29"/>
        <v>49</v>
      </c>
      <c r="B81">
        <f t="shared" si="10"/>
        <v>0.8555161232093855</v>
      </c>
      <c r="C81">
        <f t="shared" si="11"/>
        <v>0.19613274120490853</v>
      </c>
      <c r="E81">
        <f t="shared" si="12"/>
        <v>0.8555161232093855</v>
      </c>
      <c r="F81">
        <f t="shared" si="32"/>
        <v>0.8555161232093855</v>
      </c>
      <c r="G81" s="3">
        <f t="shared" si="30"/>
        <v>49</v>
      </c>
      <c r="H81">
        <f t="shared" si="33"/>
        <v>4.478067068535243</v>
      </c>
      <c r="I81">
        <f t="shared" si="34"/>
        <v>0.9980044742910439</v>
      </c>
      <c r="J81">
        <f t="shared" si="35"/>
        <v>5.864918012169714</v>
      </c>
      <c r="K81">
        <f t="shared" si="36"/>
        <v>42.15756842885177</v>
      </c>
      <c r="L81">
        <f t="shared" si="37"/>
        <v>0.229779848197893</v>
      </c>
      <c r="M81">
        <f t="shared" si="38"/>
        <v>0.36027651656371334</v>
      </c>
      <c r="N81">
        <f t="shared" si="39"/>
        <v>0.7166589411769627</v>
      </c>
      <c r="R81">
        <f t="shared" si="14"/>
        <v>0.8555161232093855</v>
      </c>
      <c r="S81" s="3">
        <f t="shared" si="15"/>
        <v>0.19613274120490853</v>
      </c>
      <c r="T81" s="3">
        <f t="shared" si="40"/>
        <v>4.478067068535243</v>
      </c>
      <c r="V81">
        <f t="shared" si="41"/>
        <v>0.19613274120490853</v>
      </c>
      <c r="W81">
        <f t="shared" si="16"/>
        <v>0.19613274120490853</v>
      </c>
      <c r="X81">
        <f t="shared" si="17"/>
        <v>0.19613274120490853</v>
      </c>
      <c r="Y81"/>
      <c r="Z81"/>
      <c r="AA81"/>
      <c r="AC81">
        <f t="shared" si="18"/>
        <v>0.19613274120490853</v>
      </c>
      <c r="AD81" s="3">
        <f t="shared" si="19"/>
        <v>3.8918202981106265</v>
      </c>
      <c r="AE81" s="3">
        <f t="shared" si="20"/>
        <v>-1.6289635979371653</v>
      </c>
      <c r="AF81">
        <f t="shared" si="21"/>
        <v>0.229779848197893</v>
      </c>
      <c r="AG81">
        <f t="shared" si="22"/>
        <v>0.36027651656371334</v>
      </c>
      <c r="AH81">
        <f t="shared" si="23"/>
        <v>0.7166589411769627</v>
      </c>
      <c r="AI81" s="3">
        <v>49</v>
      </c>
      <c r="AL81" s="3">
        <f t="shared" si="24"/>
        <v>3.8918202981106265</v>
      </c>
      <c r="AM81" s="3">
        <f t="shared" si="25"/>
        <v>-1.470633610198215</v>
      </c>
      <c r="AN81" s="3">
        <f t="shared" si="26"/>
        <v>-1.0208834408051508</v>
      </c>
      <c r="AO81" s="3">
        <f t="shared" si="27"/>
        <v>-0.3331552263397155</v>
      </c>
      <c r="AQ81" s="19"/>
      <c r="AR81" s="19"/>
      <c r="AS81" s="19"/>
      <c r="AT81" s="19">
        <f>SUM(AT76:AT79)</f>
        <v>0.0226267037289527</v>
      </c>
      <c r="AU81" s="19">
        <f>SUM(AU76:AU79)</f>
        <v>0.23150040748636405</v>
      </c>
      <c r="AV81" s="19"/>
      <c r="AW81" s="19"/>
      <c r="AX81" s="19"/>
      <c r="AY81" s="19">
        <f>SUM(AY76:AY79)</f>
        <v>0.0006641561070517374</v>
      </c>
      <c r="AZ81" s="19">
        <f>SUM(AZ76:AZ79)</f>
        <v>1.4662290390939765</v>
      </c>
      <c r="BA81" s="19"/>
      <c r="BB81" s="19"/>
      <c r="BD81"/>
      <c r="BE81"/>
      <c r="BF81"/>
      <c r="BG81"/>
      <c r="BH81"/>
      <c r="BI81"/>
      <c r="BJ81"/>
    </row>
    <row r="82" spans="1:54" ht="12.75">
      <c r="A82">
        <f t="shared" si="29"/>
        <v>50</v>
      </c>
      <c r="B82">
        <f t="shared" si="10"/>
        <v>0.8541085402469687</v>
      </c>
      <c r="C82">
        <f t="shared" si="11"/>
        <v>0.19652242619097704</v>
      </c>
      <c r="E82">
        <f t="shared" si="12"/>
        <v>0.8541085402469687</v>
      </c>
      <c r="F82">
        <f t="shared" si="32"/>
        <v>0.8541085402469687</v>
      </c>
      <c r="G82">
        <f t="shared" si="30"/>
        <v>50</v>
      </c>
      <c r="H82">
        <f t="shared" si="33"/>
        <v>4.578534984948233</v>
      </c>
      <c r="I82">
        <f t="shared" si="34"/>
        <v>0.9980106712549262</v>
      </c>
      <c r="J82">
        <f t="shared" si="35"/>
        <v>5.8649544295265805</v>
      </c>
      <c r="K82">
        <f t="shared" si="36"/>
        <v>42.15783020015205</v>
      </c>
      <c r="L82">
        <f t="shared" si="37"/>
        <v>0.22950850382767243</v>
      </c>
      <c r="M82">
        <f t="shared" si="38"/>
        <v>0.3579673538253975</v>
      </c>
      <c r="N82">
        <f t="shared" si="39"/>
        <v>0.7131007666338319</v>
      </c>
      <c r="R82">
        <f t="shared" si="14"/>
        <v>0.8541085402469687</v>
      </c>
      <c r="S82" s="2">
        <f t="shared" si="15"/>
        <v>0.19652242619097704</v>
      </c>
      <c r="T82" s="2">
        <f t="shared" si="40"/>
        <v>4.578534984948233</v>
      </c>
      <c r="V82">
        <f t="shared" si="41"/>
        <v>0.19652242619097704</v>
      </c>
      <c r="W82">
        <f t="shared" si="16"/>
        <v>0.19652242619097704</v>
      </c>
      <c r="X82">
        <f t="shared" si="17"/>
        <v>0.19652242619097704</v>
      </c>
      <c r="AC82">
        <f t="shared" si="18"/>
        <v>0.19652242619097704</v>
      </c>
      <c r="AD82">
        <f t="shared" si="19"/>
        <v>3.912023005428146</v>
      </c>
      <c r="AE82">
        <f t="shared" si="20"/>
        <v>-1.626978725986592</v>
      </c>
      <c r="AF82">
        <f t="shared" si="21"/>
        <v>0.22950850382767243</v>
      </c>
      <c r="AG82">
        <f t="shared" si="22"/>
        <v>0.3579673538253975</v>
      </c>
      <c r="AH82">
        <f t="shared" si="23"/>
        <v>0.7131007666338319</v>
      </c>
      <c r="AL82">
        <f t="shared" si="24"/>
        <v>3.912023005428146</v>
      </c>
      <c r="AM82">
        <f t="shared" si="25"/>
        <v>-1.471815196452661</v>
      </c>
      <c r="AN82">
        <f t="shared" si="26"/>
        <v>-1.0273134871713874</v>
      </c>
      <c r="AO82">
        <f t="shared" si="27"/>
        <v>-0.3381325408764728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</row>
    <row r="83" spans="1:54" ht="12.75">
      <c r="A83">
        <f t="shared" si="29"/>
        <v>51</v>
      </c>
      <c r="B83">
        <f t="shared" si="10"/>
        <v>0.8527561558780753</v>
      </c>
      <c r="C83">
        <f t="shared" si="11"/>
        <v>0.19689727117795464</v>
      </c>
      <c r="E83">
        <f t="shared" si="12"/>
        <v>0.8527561558780753</v>
      </c>
      <c r="F83">
        <f t="shared" si="32"/>
        <v>0.8527561558780753</v>
      </c>
      <c r="G83">
        <f t="shared" si="30"/>
        <v>51</v>
      </c>
      <c r="H83">
        <f t="shared" si="33"/>
        <v>4.67901339934661</v>
      </c>
      <c r="I83">
        <f t="shared" si="34"/>
        <v>0.9980166087393779</v>
      </c>
      <c r="J83">
        <f t="shared" si="35"/>
        <v>5.864989322014946</v>
      </c>
      <c r="K83">
        <f t="shared" si="36"/>
        <v>42.15808101055773</v>
      </c>
      <c r="L83">
        <f t="shared" si="37"/>
        <v>0.22924778416156616</v>
      </c>
      <c r="M83">
        <f t="shared" si="38"/>
        <v>0.3557310952662809</v>
      </c>
      <c r="N83">
        <f t="shared" si="39"/>
        <v>0.709592821757201</v>
      </c>
      <c r="R83">
        <f t="shared" si="14"/>
        <v>0.8527561558780753</v>
      </c>
      <c r="S83" s="2">
        <f t="shared" si="15"/>
        <v>0.19689727117795464</v>
      </c>
      <c r="T83" s="2">
        <f t="shared" si="40"/>
        <v>4.67901339934661</v>
      </c>
      <c r="V83">
        <f t="shared" si="41"/>
        <v>0.19689727117795464</v>
      </c>
      <c r="W83">
        <f t="shared" si="16"/>
        <v>0.19689727117795464</v>
      </c>
      <c r="X83">
        <f t="shared" si="17"/>
        <v>0.19689727117795464</v>
      </c>
      <c r="AC83">
        <f t="shared" si="18"/>
        <v>0.19689727117795464</v>
      </c>
      <c r="AD83">
        <f t="shared" si="19"/>
        <v>3.9318256327243257</v>
      </c>
      <c r="AE83">
        <f t="shared" si="20"/>
        <v>-1.6250731523566346</v>
      </c>
      <c r="AF83">
        <f t="shared" si="21"/>
        <v>0.22924778416156616</v>
      </c>
      <c r="AG83">
        <f t="shared" si="22"/>
        <v>0.3557310952662809</v>
      </c>
      <c r="AH83">
        <f t="shared" si="23"/>
        <v>0.709592821757201</v>
      </c>
      <c r="AL83">
        <f t="shared" si="24"/>
        <v>3.9318256327243257</v>
      </c>
      <c r="AM83">
        <f t="shared" si="25"/>
        <v>-1.4729518334906777</v>
      </c>
      <c r="AN83">
        <f t="shared" si="26"/>
        <v>-1.0335801839265546</v>
      </c>
      <c r="AO83">
        <f t="shared" si="27"/>
        <v>-0.3430639639381575</v>
      </c>
      <c r="AQ83" s="19"/>
      <c r="AR83" s="19"/>
      <c r="AS83" s="19"/>
      <c r="AT83" s="20">
        <f>AT81+AY81</f>
        <v>0.023290859836004436</v>
      </c>
      <c r="AU83" s="19"/>
      <c r="AV83" s="19" t="s">
        <v>56</v>
      </c>
      <c r="AW83" s="19"/>
      <c r="AX83" s="19"/>
      <c r="AY83" s="19"/>
      <c r="AZ83" s="19"/>
      <c r="BA83" s="19"/>
      <c r="BB83" s="19"/>
    </row>
    <row r="84" spans="1:54" ht="12.75">
      <c r="A84">
        <f t="shared" si="29"/>
        <v>52</v>
      </c>
      <c r="B84">
        <f t="shared" si="10"/>
        <v>0.85145578561024</v>
      </c>
      <c r="C84">
        <f t="shared" si="11"/>
        <v>0.19725810714823377</v>
      </c>
      <c r="E84">
        <f t="shared" si="12"/>
        <v>0.85145578561024</v>
      </c>
      <c r="F84">
        <f t="shared" si="32"/>
        <v>0.85145578561024</v>
      </c>
      <c r="G84">
        <f t="shared" si="30"/>
        <v>52</v>
      </c>
      <c r="H84">
        <f t="shared" si="33"/>
        <v>4.7795017018352635</v>
      </c>
      <c r="I84">
        <f t="shared" si="34"/>
        <v>0.9980223026820735</v>
      </c>
      <c r="J84">
        <f t="shared" si="35"/>
        <v>5.865022783294866</v>
      </c>
      <c r="K84">
        <f t="shared" si="36"/>
        <v>42.15832153330587</v>
      </c>
      <c r="L84">
        <f t="shared" si="37"/>
        <v>0.2289970769892047</v>
      </c>
      <c r="M84">
        <f t="shared" si="38"/>
        <v>0.35356433872674353</v>
      </c>
      <c r="N84">
        <f t="shared" si="39"/>
        <v>0.7061340511929483</v>
      </c>
      <c r="R84">
        <f t="shared" si="14"/>
        <v>0.85145578561024</v>
      </c>
      <c r="S84" s="2">
        <f t="shared" si="15"/>
        <v>0.19725810714823377</v>
      </c>
      <c r="T84" s="2">
        <f t="shared" si="40"/>
        <v>4.7795017018352635</v>
      </c>
      <c r="V84">
        <f t="shared" si="41"/>
        <v>0.19725810714823377</v>
      </c>
      <c r="W84">
        <f t="shared" si="16"/>
        <v>0.19725810714823377</v>
      </c>
      <c r="X84">
        <f t="shared" si="17"/>
        <v>0.19725810714823377</v>
      </c>
      <c r="AC84">
        <f t="shared" si="18"/>
        <v>0.19725810714823377</v>
      </c>
      <c r="AD84">
        <f t="shared" si="19"/>
        <v>3.9512437185814275</v>
      </c>
      <c r="AE84">
        <f t="shared" si="20"/>
        <v>-1.6232422192225266</v>
      </c>
      <c r="AF84">
        <f t="shared" si="21"/>
        <v>0.2289970769892047</v>
      </c>
      <c r="AG84">
        <f t="shared" si="22"/>
        <v>0.35356433872674353</v>
      </c>
      <c r="AH84">
        <f t="shared" si="23"/>
        <v>0.7061340511929483</v>
      </c>
      <c r="AL84">
        <f t="shared" si="24"/>
        <v>3.9512437185814275</v>
      </c>
      <c r="AM84">
        <f t="shared" si="25"/>
        <v>-1.4740460397486417</v>
      </c>
      <c r="AN84">
        <f t="shared" si="26"/>
        <v>-1.0396898053216834</v>
      </c>
      <c r="AO84">
        <f t="shared" si="27"/>
        <v>-0.34795018530174665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</row>
    <row r="85" spans="1:54" ht="12.75">
      <c r="A85">
        <f t="shared" si="29"/>
        <v>53</v>
      </c>
      <c r="B85">
        <f t="shared" si="10"/>
        <v>0.8502044852869585</v>
      </c>
      <c r="C85">
        <f t="shared" si="11"/>
        <v>0.19760570424367452</v>
      </c>
      <c r="E85">
        <f t="shared" si="12"/>
        <v>0.8502044852869585</v>
      </c>
      <c r="F85">
        <f t="shared" si="32"/>
        <v>0.8502044852869585</v>
      </c>
      <c r="G85">
        <f t="shared" si="30"/>
        <v>53</v>
      </c>
      <c r="H85">
        <f t="shared" si="33"/>
        <v>4.879999328826367</v>
      </c>
      <c r="I85">
        <f t="shared" si="34"/>
        <v>0.9980277677434879</v>
      </c>
      <c r="J85">
        <f t="shared" si="35"/>
        <v>5.865054899520747</v>
      </c>
      <c r="K85">
        <f t="shared" si="36"/>
        <v>42.15855238768226</v>
      </c>
      <c r="L85">
        <f t="shared" si="37"/>
        <v>0.22875581625906768</v>
      </c>
      <c r="M85">
        <f t="shared" si="38"/>
        <v>0.3514638907270593</v>
      </c>
      <c r="N85">
        <f t="shared" si="39"/>
        <v>0.7027234288582572</v>
      </c>
      <c r="R85">
        <f t="shared" si="14"/>
        <v>0.8502044852869585</v>
      </c>
      <c r="S85" s="2">
        <f t="shared" si="15"/>
        <v>0.19760570424367452</v>
      </c>
      <c r="T85" s="2">
        <f t="shared" si="40"/>
        <v>4.879999328826367</v>
      </c>
      <c r="V85">
        <f t="shared" si="41"/>
        <v>0.19760570424367452</v>
      </c>
      <c r="W85">
        <f t="shared" si="16"/>
        <v>0.19760570424367452</v>
      </c>
      <c r="X85">
        <f t="shared" si="17"/>
        <v>0.19760570424367452</v>
      </c>
      <c r="AC85">
        <f t="shared" si="18"/>
        <v>0.19760570424367452</v>
      </c>
      <c r="AD85">
        <f t="shared" si="19"/>
        <v>3.970291913552122</v>
      </c>
      <c r="AE85">
        <f t="shared" si="20"/>
        <v>-1.6214816264550997</v>
      </c>
      <c r="AF85">
        <f t="shared" si="21"/>
        <v>0.22875581625906768</v>
      </c>
      <c r="AG85">
        <f t="shared" si="22"/>
        <v>0.3514638907270593</v>
      </c>
      <c r="AH85">
        <f t="shared" si="23"/>
        <v>0.7027234288582572</v>
      </c>
      <c r="AL85">
        <f t="shared" si="24"/>
        <v>3.970291913552122</v>
      </c>
      <c r="AM85">
        <f t="shared" si="25"/>
        <v>-1.4751001488806001</v>
      </c>
      <c r="AN85">
        <f t="shared" si="26"/>
        <v>-1.0456483020921685</v>
      </c>
      <c r="AO85">
        <f t="shared" si="27"/>
        <v>-0.35279188014403506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</row>
    <row r="86" spans="1:54" ht="12.75">
      <c r="A86">
        <f t="shared" si="29"/>
        <v>54</v>
      </c>
      <c r="B86">
        <f t="shared" si="10"/>
        <v>0.848999528834638</v>
      </c>
      <c r="C86">
        <f t="shared" si="11"/>
        <v>0.19794077722770864</v>
      </c>
      <c r="E86">
        <f t="shared" si="12"/>
        <v>0.848999528834638</v>
      </c>
      <c r="F86">
        <f t="shared" si="32"/>
        <v>0.848999528834638</v>
      </c>
      <c r="G86">
        <f t="shared" si="30"/>
        <v>54</v>
      </c>
      <c r="H86">
        <f t="shared" si="33"/>
        <v>4.980505758729739</v>
      </c>
      <c r="I86">
        <f t="shared" si="34"/>
        <v>0.9980330174321603</v>
      </c>
      <c r="J86">
        <f t="shared" si="35"/>
        <v>5.86508575007748</v>
      </c>
      <c r="K86">
        <f t="shared" si="36"/>
        <v>42.15877414431276</v>
      </c>
      <c r="L86">
        <f t="shared" si="37"/>
        <v>0.22852347780794094</v>
      </c>
      <c r="M86">
        <f t="shared" si="38"/>
        <v>0.34942675068843493</v>
      </c>
      <c r="N86">
        <f t="shared" si="39"/>
        <v>0.6993599569444292</v>
      </c>
      <c r="R86">
        <f t="shared" si="14"/>
        <v>0.848999528834638</v>
      </c>
      <c r="S86" s="2">
        <f t="shared" si="15"/>
        <v>0.19794077722770864</v>
      </c>
      <c r="T86" s="2">
        <f t="shared" si="40"/>
        <v>4.980505758729739</v>
      </c>
      <c r="V86">
        <f t="shared" si="41"/>
        <v>0.19794077722770864</v>
      </c>
      <c r="W86">
        <f t="shared" si="16"/>
        <v>0.19794077722770864</v>
      </c>
      <c r="X86">
        <f t="shared" si="17"/>
        <v>0.19794077722770864</v>
      </c>
      <c r="AC86">
        <f t="shared" si="18"/>
        <v>0.19794077722770864</v>
      </c>
      <c r="AD86">
        <f t="shared" si="19"/>
        <v>3.9889840465642745</v>
      </c>
      <c r="AE86">
        <f t="shared" si="20"/>
        <v>-1.6197873979389596</v>
      </c>
      <c r="AF86">
        <f t="shared" si="21"/>
        <v>0.22852347780794094</v>
      </c>
      <c r="AG86">
        <f t="shared" si="22"/>
        <v>0.34942675068843493</v>
      </c>
      <c r="AH86">
        <f t="shared" si="23"/>
        <v>0.6993599569444292</v>
      </c>
      <c r="AL86">
        <f t="shared" si="24"/>
        <v>3.9889840465642745</v>
      </c>
      <c r="AM86">
        <f t="shared" si="25"/>
        <v>-1.4761163264077013</v>
      </c>
      <c r="AN86">
        <f t="shared" si="26"/>
        <v>-1.0514613224257214</v>
      </c>
      <c r="AO86">
        <f t="shared" si="27"/>
        <v>-0.35758970943138013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</row>
    <row r="87" spans="1:54" ht="12.75">
      <c r="A87">
        <f t="shared" si="29"/>
        <v>55</v>
      </c>
      <c r="B87">
        <f t="shared" si="10"/>
        <v>0.8478383884371246</v>
      </c>
      <c r="C87">
        <f t="shared" si="11"/>
        <v>0.19826399036999875</v>
      </c>
      <c r="E87">
        <f t="shared" si="12"/>
        <v>0.8478383884371246</v>
      </c>
      <c r="F87">
        <f t="shared" si="32"/>
        <v>0.8478383884371246</v>
      </c>
      <c r="G87">
        <f t="shared" si="30"/>
        <v>55</v>
      </c>
      <c r="H87">
        <f t="shared" si="33"/>
        <v>5.081020508115285</v>
      </c>
      <c r="I87">
        <f t="shared" si="34"/>
        <v>0.9980380642155164</v>
      </c>
      <c r="J87">
        <f t="shared" si="35"/>
        <v>5.865115408231698</v>
      </c>
      <c r="K87">
        <f t="shared" si="36"/>
        <v>42.15898732984465</v>
      </c>
      <c r="L87">
        <f t="shared" si="37"/>
        <v>0.22829957555594163</v>
      </c>
      <c r="M87">
        <f t="shared" si="38"/>
        <v>0.34745009656658926</v>
      </c>
      <c r="N87">
        <f t="shared" si="39"/>
        <v>0.6960426649587407</v>
      </c>
      <c r="R87">
        <f t="shared" si="14"/>
        <v>0.8478383884371246</v>
      </c>
      <c r="S87" s="2">
        <f t="shared" si="15"/>
        <v>0.19826399036999875</v>
      </c>
      <c r="T87" s="2">
        <f t="shared" si="40"/>
        <v>5.081020508115285</v>
      </c>
      <c r="V87">
        <f t="shared" si="41"/>
        <v>0.19826399036999875</v>
      </c>
      <c r="W87">
        <f t="shared" si="16"/>
        <v>0.19826399036999875</v>
      </c>
      <c r="X87">
        <f t="shared" si="17"/>
        <v>0.19826399036999875</v>
      </c>
      <c r="AC87">
        <f t="shared" si="18"/>
        <v>0.19826399036999875</v>
      </c>
      <c r="AD87">
        <f t="shared" si="19"/>
        <v>4.007333185232471</v>
      </c>
      <c r="AE87">
        <f t="shared" si="20"/>
        <v>-1.6181558516254322</v>
      </c>
      <c r="AF87">
        <f t="shared" si="21"/>
        <v>0.22829957555594163</v>
      </c>
      <c r="AG87">
        <f t="shared" si="22"/>
        <v>0.34745009656658926</v>
      </c>
      <c r="AH87">
        <f t="shared" si="23"/>
        <v>0.6960426649587407</v>
      </c>
      <c r="AL87">
        <f t="shared" si="24"/>
        <v>4.007333185232471</v>
      </c>
      <c r="AM87">
        <f t="shared" si="25"/>
        <v>-1.477096584598612</v>
      </c>
      <c r="AN87">
        <f t="shared" si="26"/>
        <v>-1.057134231292384</v>
      </c>
      <c r="AO87">
        <f t="shared" si="27"/>
        <v>-0.36234432029842395</v>
      </c>
      <c r="AQ87" s="19"/>
      <c r="AR87" s="19"/>
      <c r="AS87" s="19"/>
      <c r="AT87" s="19" t="s">
        <v>57</v>
      </c>
      <c r="AU87" s="19"/>
      <c r="AV87" s="19"/>
      <c r="AW87" s="19"/>
      <c r="AX87" s="19"/>
      <c r="AY87" s="19"/>
      <c r="AZ87" s="19"/>
      <c r="BA87" s="19"/>
      <c r="BB87" s="19"/>
    </row>
    <row r="88" spans="1:54" ht="12.75">
      <c r="A88">
        <f t="shared" si="29"/>
        <v>56</v>
      </c>
      <c r="B88">
        <f t="shared" si="10"/>
        <v>0.8467187168343616</v>
      </c>
      <c r="C88">
        <f t="shared" si="11"/>
        <v>0.19857596182356874</v>
      </c>
      <c r="E88">
        <f t="shared" si="12"/>
        <v>0.8467187168343616</v>
      </c>
      <c r="F88">
        <f t="shared" si="32"/>
        <v>0.8467187168343616</v>
      </c>
      <c r="G88">
        <v>56</v>
      </c>
      <c r="H88">
        <f t="shared" si="33"/>
        <v>5.181543128288437</v>
      </c>
      <c r="I88">
        <f t="shared" si="34"/>
        <v>0.9980429196181498</v>
      </c>
      <c r="J88">
        <f t="shared" si="35"/>
        <v>5.865143941709347</v>
      </c>
      <c r="K88">
        <f t="shared" si="36"/>
        <v>42.15919243109824</v>
      </c>
      <c r="L88">
        <f t="shared" si="37"/>
        <v>0.22808365810895267</v>
      </c>
      <c r="M88">
        <f t="shared" si="38"/>
        <v>0.3455312717522641</v>
      </c>
      <c r="N88">
        <f t="shared" si="39"/>
        <v>0.6927706088037904</v>
      </c>
      <c r="R88">
        <f t="shared" si="14"/>
        <v>0.8467187168343616</v>
      </c>
      <c r="S88" s="2">
        <f t="shared" si="15"/>
        <v>0.19857596182356874</v>
      </c>
      <c r="T88" s="2">
        <f t="shared" si="40"/>
        <v>5.181543128288437</v>
      </c>
      <c r="V88">
        <f t="shared" si="41"/>
        <v>0.19857596182356874</v>
      </c>
      <c r="W88">
        <f t="shared" si="16"/>
        <v>0.19857596182356874</v>
      </c>
      <c r="X88">
        <f t="shared" si="17"/>
        <v>0.19857596182356874</v>
      </c>
      <c r="AC88">
        <f t="shared" si="18"/>
        <v>0.19857596182356874</v>
      </c>
      <c r="AD88">
        <f t="shared" si="19"/>
        <v>4.02535169073515</v>
      </c>
      <c r="AE88">
        <f t="shared" si="20"/>
        <v>-1.6165835728459734</v>
      </c>
      <c r="AF88">
        <f t="shared" si="21"/>
        <v>0.22808365810895267</v>
      </c>
      <c r="AG88">
        <f t="shared" si="22"/>
        <v>0.3455312717522641</v>
      </c>
      <c r="AH88">
        <f t="shared" si="23"/>
        <v>0.6927706088037904</v>
      </c>
      <c r="AL88">
        <f t="shared" si="24"/>
        <v>4.02535169073515</v>
      </c>
      <c r="AM88">
        <f t="shared" si="25"/>
        <v>-1.478042795796445</v>
      </c>
      <c r="AN88">
        <f t="shared" si="26"/>
        <v>-1.0626721282863616</v>
      </c>
      <c r="AO88">
        <f t="shared" si="27"/>
        <v>-0.3670563464158835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</row>
    <row r="89" spans="1:54" ht="12.75">
      <c r="A89">
        <f t="shared" si="29"/>
        <v>57</v>
      </c>
      <c r="B89">
        <f t="shared" si="10"/>
        <v>0.8456383314843248</v>
      </c>
      <c r="C89">
        <f t="shared" si="11"/>
        <v>0.1988772675548136</v>
      </c>
      <c r="E89">
        <f t="shared" si="12"/>
        <v>0.8456383314843248</v>
      </c>
      <c r="F89">
        <f t="shared" si="32"/>
        <v>0.8456383314843248</v>
      </c>
      <c r="G89">
        <f t="shared" si="30"/>
        <v>57</v>
      </c>
      <c r="H89">
        <f t="shared" si="33"/>
        <v>5.282073202227602</v>
      </c>
      <c r="I89">
        <f t="shared" si="34"/>
        <v>0.9980475943091909</v>
      </c>
      <c r="J89">
        <f t="shared" si="35"/>
        <v>5.865171413209119</v>
      </c>
      <c r="K89">
        <f t="shared" si="36"/>
        <v>42.15938989875748</v>
      </c>
      <c r="L89">
        <f t="shared" si="37"/>
        <v>0.22787530571845852</v>
      </c>
      <c r="M89">
        <f t="shared" si="38"/>
        <v>0.3436677731099894</v>
      </c>
      <c r="N89">
        <f t="shared" si="39"/>
        <v>0.6895428698928195</v>
      </c>
      <c r="R89">
        <f t="shared" si="14"/>
        <v>0.8456383314843248</v>
      </c>
      <c r="S89" s="2">
        <f t="shared" si="15"/>
        <v>0.1988772675548136</v>
      </c>
      <c r="T89" s="2">
        <f t="shared" si="40"/>
        <v>5.282073202227602</v>
      </c>
      <c r="V89">
        <f t="shared" si="41"/>
        <v>0.1988772675548136</v>
      </c>
      <c r="W89">
        <f t="shared" si="16"/>
        <v>0.1988772675548136</v>
      </c>
      <c r="X89">
        <f t="shared" si="17"/>
        <v>0.1988772675548136</v>
      </c>
      <c r="AC89">
        <f t="shared" si="18"/>
        <v>0.1988772675548136</v>
      </c>
      <c r="AD89">
        <f t="shared" si="19"/>
        <v>4.04305126783455</v>
      </c>
      <c r="AE89">
        <f t="shared" si="20"/>
        <v>-1.6150673904793766</v>
      </c>
      <c r="AF89">
        <f t="shared" si="21"/>
        <v>0.22787530571845852</v>
      </c>
      <c r="AG89">
        <f t="shared" si="22"/>
        <v>0.3436677731099894</v>
      </c>
      <c r="AH89">
        <f t="shared" si="23"/>
        <v>0.6895428698928195</v>
      </c>
      <c r="AL89">
        <f t="shared" si="24"/>
        <v>4.04305126783455</v>
      </c>
      <c r="AM89">
        <f t="shared" si="25"/>
        <v>-1.4789567043782483</v>
      </c>
      <c r="AN89">
        <f t="shared" si="26"/>
        <v>-1.068079864113767</v>
      </c>
      <c r="AO89">
        <f t="shared" si="27"/>
        <v>-0.371726408347548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</row>
    <row r="90" spans="1:54" ht="12.75">
      <c r="A90">
        <f t="shared" si="29"/>
        <v>58</v>
      </c>
      <c r="B90">
        <f t="shared" si="10"/>
        <v>0.8445952003633594</v>
      </c>
      <c r="C90">
        <f t="shared" si="11"/>
        <v>0.19916844487873064</v>
      </c>
      <c r="E90">
        <f t="shared" si="12"/>
        <v>0.8445952003633594</v>
      </c>
      <c r="F90">
        <f t="shared" si="32"/>
        <v>0.8445952003633594</v>
      </c>
      <c r="G90">
        <f t="shared" si="30"/>
        <v>58</v>
      </c>
      <c r="H90">
        <f t="shared" si="33"/>
        <v>5.382610341839802</v>
      </c>
      <c r="I90">
        <f t="shared" si="34"/>
        <v>0.9980520981801453</v>
      </c>
      <c r="J90">
        <f t="shared" si="35"/>
        <v>5.865197880859881</v>
      </c>
      <c r="K90">
        <f t="shared" si="36"/>
        <v>42.159580150657995</v>
      </c>
      <c r="L90">
        <f t="shared" si="37"/>
        <v>0.2276741275556721</v>
      </c>
      <c r="M90">
        <f t="shared" si="38"/>
        <v>0.34185724004118007</v>
      </c>
      <c r="N90">
        <f t="shared" si="39"/>
        <v>0.6863585542995212</v>
      </c>
      <c r="R90">
        <f t="shared" si="14"/>
        <v>0.8445952003633594</v>
      </c>
      <c r="S90" s="2">
        <f t="shared" si="15"/>
        <v>0.19916844487873064</v>
      </c>
      <c r="T90" s="2">
        <f t="shared" si="40"/>
        <v>5.382610341839802</v>
      </c>
      <c r="V90">
        <f t="shared" si="41"/>
        <v>0.19916844487873064</v>
      </c>
      <c r="W90">
        <f t="shared" si="16"/>
        <v>0.19916844487873064</v>
      </c>
      <c r="X90">
        <f t="shared" si="17"/>
        <v>0.19916844487873064</v>
      </c>
      <c r="AC90">
        <f t="shared" si="18"/>
        <v>0.19916844487873064</v>
      </c>
      <c r="AD90">
        <f t="shared" si="19"/>
        <v>4.060443010546419</v>
      </c>
      <c r="AE90">
        <f t="shared" si="20"/>
        <v>-1.6136043556230286</v>
      </c>
      <c r="AF90">
        <f t="shared" si="21"/>
        <v>0.2276741275556721</v>
      </c>
      <c r="AG90">
        <f t="shared" si="22"/>
        <v>0.34185724004118007</v>
      </c>
      <c r="AH90">
        <f t="shared" si="23"/>
        <v>0.6863585542995212</v>
      </c>
      <c r="AL90">
        <f t="shared" si="24"/>
        <v>4.060443010546419</v>
      </c>
      <c r="AM90">
        <f t="shared" si="25"/>
        <v>-1.4798399375080484</v>
      </c>
      <c r="AN90">
        <f t="shared" si="26"/>
        <v>-1.073362055846518</v>
      </c>
      <c r="AO90">
        <f t="shared" si="27"/>
        <v>-0.3763551138966728</v>
      </c>
      <c r="AQ90" s="19"/>
      <c r="AR90" s="19"/>
      <c r="AS90" s="19"/>
      <c r="AT90" s="19">
        <f>AT83+AT66+AT49+AT32</f>
        <v>0.05326632033063191</v>
      </c>
      <c r="AU90" s="19"/>
      <c r="AV90" s="19"/>
      <c r="AW90" s="19"/>
      <c r="AX90" s="19"/>
      <c r="AY90" s="19"/>
      <c r="AZ90" s="19"/>
      <c r="BA90" s="19"/>
      <c r="BB90" s="19"/>
    </row>
    <row r="91" spans="1:54" ht="12.75">
      <c r="A91">
        <f t="shared" si="29"/>
        <v>59</v>
      </c>
      <c r="B91">
        <f t="shared" si="10"/>
        <v>0.8435874292105334</v>
      </c>
      <c r="C91">
        <f t="shared" si="11"/>
        <v>0.19944999564483146</v>
      </c>
      <c r="E91">
        <f t="shared" si="12"/>
        <v>0.8435874292105334</v>
      </c>
      <c r="F91">
        <f t="shared" si="32"/>
        <v>0.8435874292105334</v>
      </c>
      <c r="G91">
        <f t="shared" si="30"/>
        <v>59</v>
      </c>
      <c r="H91">
        <f t="shared" si="33"/>
        <v>5.483154185496626</v>
      </c>
      <c r="I91">
        <f t="shared" si="34"/>
        <v>0.9980564404143967</v>
      </c>
      <c r="J91">
        <f t="shared" si="35"/>
        <v>5.86522339862912</v>
      </c>
      <c r="K91">
        <f t="shared" si="36"/>
        <v>42.159763574723016</v>
      </c>
      <c r="L91">
        <f t="shared" si="37"/>
        <v>0.22747975926268552</v>
      </c>
      <c r="M91">
        <f t="shared" si="38"/>
        <v>0.3400974444705099</v>
      </c>
      <c r="N91">
        <f t="shared" si="39"/>
        <v>0.6832167919409043</v>
      </c>
      <c r="R91">
        <f t="shared" si="14"/>
        <v>0.8435874292105334</v>
      </c>
      <c r="S91" s="2">
        <f t="shared" si="15"/>
        <v>0.19944999564483146</v>
      </c>
      <c r="T91" s="2">
        <f t="shared" si="40"/>
        <v>5.483154185496626</v>
      </c>
      <c r="V91">
        <f t="shared" si="41"/>
        <v>0.19944999564483146</v>
      </c>
      <c r="W91">
        <f t="shared" si="16"/>
        <v>0.19944999564483146</v>
      </c>
      <c r="X91">
        <f t="shared" si="17"/>
        <v>0.19944999564483146</v>
      </c>
      <c r="AC91">
        <f t="shared" si="18"/>
        <v>0.19944999564483146</v>
      </c>
      <c r="AD91">
        <f t="shared" si="19"/>
        <v>4.07753744390572</v>
      </c>
      <c r="AE91">
        <f t="shared" si="20"/>
        <v>-1.6121917224666131</v>
      </c>
      <c r="AF91">
        <f t="shared" si="21"/>
        <v>0.22747975926268552</v>
      </c>
      <c r="AG91">
        <f t="shared" si="22"/>
        <v>0.3400974444705099</v>
      </c>
      <c r="AH91">
        <f t="shared" si="23"/>
        <v>0.6832167919409043</v>
      </c>
      <c r="AL91">
        <f t="shared" si="24"/>
        <v>4.07753744390572</v>
      </c>
      <c r="AM91">
        <f t="shared" si="25"/>
        <v>-1.4806940148231313</v>
      </c>
      <c r="AN91">
        <f t="shared" si="26"/>
        <v>-1.0785231010504086</v>
      </c>
      <c r="AO91">
        <f t="shared" si="27"/>
        <v>-0.38094305844198584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</row>
    <row r="92" spans="1:54" ht="12.75">
      <c r="A92">
        <f t="shared" si="29"/>
        <v>60</v>
      </c>
      <c r="B92">
        <f t="shared" si="10"/>
        <v>0.8426132500475408</v>
      </c>
      <c r="C92">
        <f t="shared" si="11"/>
        <v>0.19972238911331575</v>
      </c>
      <c r="E92">
        <f t="shared" si="12"/>
        <v>0.8426132500475408</v>
      </c>
      <c r="F92">
        <f t="shared" si="32"/>
        <v>0.8426132500475408</v>
      </c>
      <c r="G92">
        <f t="shared" si="30"/>
        <v>60</v>
      </c>
      <c r="H92">
        <f t="shared" si="33"/>
        <v>5.583704395817671</v>
      </c>
      <c r="I92">
        <f t="shared" si="34"/>
        <v>0.9980606295493915</v>
      </c>
      <c r="J92">
        <f t="shared" si="35"/>
        <v>5.865248016688376</v>
      </c>
      <c r="K92">
        <f t="shared" si="36"/>
        <v>42.159940531590195</v>
      </c>
      <c r="L92">
        <f t="shared" si="37"/>
        <v>0.22729186074834334</v>
      </c>
      <c r="M92">
        <f t="shared" si="38"/>
        <v>0.3383862816657671</v>
      </c>
      <c r="N92">
        <f t="shared" si="39"/>
        <v>0.6801167357918232</v>
      </c>
      <c r="R92">
        <f t="shared" si="14"/>
        <v>0.8426132500475408</v>
      </c>
      <c r="S92" s="2">
        <f t="shared" si="15"/>
        <v>0.19972238911331575</v>
      </c>
      <c r="T92" s="2">
        <f t="shared" si="40"/>
        <v>5.583704395817671</v>
      </c>
      <c r="V92">
        <f t="shared" si="41"/>
        <v>0.19972238911331575</v>
      </c>
      <c r="W92">
        <f t="shared" si="16"/>
        <v>0.19972238911331575</v>
      </c>
      <c r="X92">
        <f t="shared" si="17"/>
        <v>0.19972238911331575</v>
      </c>
      <c r="AC92">
        <f t="shared" si="18"/>
        <v>0.19972238911331575</v>
      </c>
      <c r="AD92">
        <f t="shared" si="19"/>
        <v>4.0943445622221</v>
      </c>
      <c r="AE92">
        <f t="shared" si="20"/>
        <v>-1.6108269311074583</v>
      </c>
      <c r="AF92">
        <f t="shared" si="21"/>
        <v>0.22729186074834334</v>
      </c>
      <c r="AG92">
        <f t="shared" si="22"/>
        <v>0.3383862816657671</v>
      </c>
      <c r="AH92">
        <f t="shared" si="23"/>
        <v>0.6801167357918232</v>
      </c>
      <c r="AL92">
        <f t="shared" si="24"/>
        <v>4.0943445622221</v>
      </c>
      <c r="AM92">
        <f t="shared" si="25"/>
        <v>-1.481520357175056</v>
      </c>
      <c r="AN92">
        <f t="shared" si="26"/>
        <v>-1.0835671908845337</v>
      </c>
      <c r="AO92">
        <f t="shared" si="27"/>
        <v>-0.38549082526354844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43:54" ht="12.75"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</row>
  </sheetData>
  <printOptions/>
  <pageMargins left="0.75" right="0.75" top="1" bottom="1" header="0.5" footer="0.5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Lansdale</dc:creator>
  <cp:keywords/>
  <dc:description/>
  <cp:lastModifiedBy>psy3lansdmw</cp:lastModifiedBy>
  <cp:lastPrinted>2007-09-18T07:22:18Z</cp:lastPrinted>
  <dcterms:created xsi:type="dcterms:W3CDTF">2007-07-26T09:26:48Z</dcterms:created>
  <dcterms:modified xsi:type="dcterms:W3CDTF">2008-07-13T12:30:58Z</dcterms:modified>
  <cp:category/>
  <cp:version/>
  <cp:contentType/>
  <cp:contentStatus/>
</cp:coreProperties>
</file>